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ECNOLOGIA SISTICGE\Downloads\"/>
    </mc:Choice>
  </mc:AlternateContent>
  <xr:revisionPtr revIDLastSave="0" documentId="13_ncr:1_{530EA7BF-85FB-4764-B7C3-4645F3BF2799}" xr6:coauthVersionLast="47" xr6:coauthVersionMax="47" xr10:uidLastSave="{00000000-0000-0000-0000-000000000000}"/>
  <bookViews>
    <workbookView xWindow="-108" yWindow="-108" windowWidth="23256" windowHeight="12456" xr2:uid="{6A29E254-06D2-4CCA-B1DA-6E9D63B8685C}"/>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3" i="1" l="1"/>
  <c r="C1512" i="1"/>
  <c r="C1511" i="1"/>
  <c r="C1510" i="1"/>
  <c r="C1509" i="1"/>
  <c r="C1506" i="1"/>
  <c r="C1504" i="1"/>
  <c r="C1498" i="1"/>
  <c r="C1497" i="1"/>
  <c r="C1496" i="1"/>
  <c r="C1495" i="1"/>
  <c r="C1494" i="1"/>
  <c r="C1493" i="1"/>
  <c r="C1492" i="1"/>
  <c r="C1491" i="1"/>
  <c r="C1490" i="1"/>
  <c r="C1489" i="1"/>
  <c r="C1488" i="1"/>
  <c r="C1487" i="1"/>
  <c r="C1486" i="1"/>
  <c r="C1485" i="1"/>
  <c r="C1484" i="1"/>
  <c r="C1483" i="1"/>
  <c r="C1482" i="1"/>
  <c r="C1479" i="1"/>
  <c r="C1477"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39" i="1"/>
  <c r="C1437" i="1"/>
  <c r="C1431" i="1"/>
  <c r="C1430" i="1"/>
  <c r="C1429" i="1"/>
  <c r="C1428" i="1"/>
  <c r="C1427" i="1"/>
  <c r="C1426" i="1"/>
  <c r="C1425" i="1"/>
  <c r="C1424" i="1"/>
  <c r="C1423" i="1"/>
  <c r="C1422" i="1"/>
  <c r="C1421" i="1"/>
  <c r="C1418" i="1"/>
  <c r="C1416"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3" i="1"/>
  <c r="C1381" i="1"/>
  <c r="C1375" i="1"/>
  <c r="C1374" i="1"/>
  <c r="C1373" i="1"/>
  <c r="C1372" i="1"/>
  <c r="C1371" i="1"/>
  <c r="C1368" i="1"/>
  <c r="C1366"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6" i="1"/>
  <c r="C1324" i="1"/>
  <c r="C1318" i="1"/>
  <c r="C1317" i="1"/>
  <c r="C1316" i="1"/>
  <c r="C1315" i="1"/>
  <c r="C1314" i="1"/>
  <c r="C1311" i="1"/>
  <c r="C1309" i="1"/>
  <c r="C1303" i="1"/>
  <c r="C1302" i="1"/>
  <c r="C1301" i="1"/>
  <c r="C1300" i="1"/>
  <c r="C1299" i="1"/>
  <c r="C1298" i="1"/>
  <c r="C1297" i="1"/>
  <c r="C1296" i="1"/>
  <c r="C1295" i="1"/>
  <c r="C1294" i="1"/>
  <c r="C1293" i="1"/>
  <c r="C1290" i="1"/>
  <c r="C1288" i="1"/>
  <c r="C1282" i="1"/>
  <c r="C1281" i="1"/>
  <c r="C1280" i="1"/>
  <c r="C1279" i="1"/>
  <c r="C1278" i="1"/>
  <c r="C1277" i="1"/>
  <c r="C1276" i="1"/>
  <c r="C1275" i="1"/>
  <c r="C1274" i="1"/>
  <c r="C1273" i="1"/>
  <c r="C1272" i="1"/>
  <c r="C1271" i="1"/>
  <c r="C1270" i="1"/>
  <c r="C1269" i="1"/>
  <c r="C1266" i="1"/>
  <c r="C1264" i="1"/>
  <c r="C1258" i="1"/>
  <c r="C1257" i="1"/>
  <c r="C1256" i="1"/>
  <c r="C1255" i="1"/>
  <c r="C1254" i="1"/>
  <c r="C1253" i="1"/>
  <c r="C1252" i="1"/>
  <c r="C1251" i="1"/>
  <c r="C1250" i="1"/>
  <c r="C1249" i="1"/>
  <c r="C1248" i="1"/>
  <c r="C1247" i="1"/>
  <c r="C1246" i="1"/>
  <c r="C1245" i="1"/>
  <c r="C1244" i="1"/>
  <c r="C1243" i="1"/>
  <c r="C1242" i="1"/>
  <c r="C1241" i="1"/>
  <c r="C1240" i="1"/>
  <c r="C1239" i="1"/>
  <c r="C1236" i="1"/>
  <c r="C1234" i="1"/>
  <c r="C1228" i="1"/>
  <c r="C1225" i="1"/>
  <c r="C1223"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5" i="1"/>
  <c r="C1183" i="1"/>
  <c r="C1177" i="1"/>
  <c r="C1176" i="1"/>
  <c r="C1175" i="1"/>
  <c r="C1174" i="1"/>
  <c r="C1173" i="1"/>
  <c r="C1172" i="1"/>
  <c r="C1171" i="1"/>
  <c r="C1170" i="1"/>
  <c r="C1169" i="1"/>
  <c r="C1168" i="1"/>
  <c r="C1167" i="1"/>
  <c r="C1166" i="1"/>
  <c r="C1163" i="1"/>
  <c r="C1161"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7" i="1"/>
  <c r="C1125" i="1"/>
  <c r="C1119" i="1"/>
  <c r="C1118" i="1"/>
  <c r="C1117" i="1"/>
  <c r="C1116" i="1"/>
  <c r="C1115" i="1"/>
  <c r="C1112" i="1"/>
  <c r="C1110"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1" i="1"/>
  <c r="C1059" i="1"/>
  <c r="C1053" i="1"/>
  <c r="C1052" i="1"/>
  <c r="C1049" i="1"/>
  <c r="C1047" i="1"/>
  <c r="C1041" i="1"/>
  <c r="C1040" i="1"/>
  <c r="C1039" i="1"/>
  <c r="C1038" i="1"/>
  <c r="C1035" i="1"/>
  <c r="C1033" i="1"/>
  <c r="C1027" i="1"/>
  <c r="C1026" i="1"/>
  <c r="C1025" i="1"/>
  <c r="C1024" i="1"/>
  <c r="C1021" i="1"/>
  <c r="C1019" i="1"/>
  <c r="C1013" i="1"/>
  <c r="C1010" i="1"/>
  <c r="C1008" i="1"/>
  <c r="C1002" i="1"/>
  <c r="C1001" i="1"/>
  <c r="C1000" i="1"/>
  <c r="C997" i="1"/>
  <c r="C995" i="1"/>
  <c r="C989" i="1"/>
  <c r="C986" i="1"/>
  <c r="C984"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6" i="1"/>
  <c r="C924" i="1"/>
  <c r="C918" i="1"/>
  <c r="C917" i="1"/>
  <c r="C916" i="1"/>
  <c r="C915" i="1"/>
  <c r="C914" i="1"/>
  <c r="C913" i="1"/>
  <c r="C912" i="1"/>
  <c r="C911" i="1"/>
  <c r="C910" i="1"/>
  <c r="C909" i="1"/>
  <c r="C906" i="1"/>
  <c r="C904" i="1"/>
  <c r="C898" i="1"/>
  <c r="C897" i="1"/>
  <c r="C896" i="1"/>
  <c r="C895" i="1"/>
  <c r="C894" i="1"/>
  <c r="C891" i="1"/>
  <c r="C889" i="1"/>
  <c r="C883" i="1"/>
  <c r="C882" i="1"/>
  <c r="C881" i="1"/>
  <c r="C880" i="1"/>
  <c r="C879" i="1"/>
  <c r="C878" i="1"/>
  <c r="C877" i="1"/>
  <c r="C876" i="1"/>
  <c r="C875" i="1"/>
  <c r="C874" i="1"/>
  <c r="C873" i="1"/>
  <c r="C872" i="1"/>
  <c r="C869" i="1"/>
  <c r="C867" i="1"/>
  <c r="C861" i="1"/>
  <c r="C860" i="1"/>
  <c r="C859" i="1"/>
  <c r="C858" i="1"/>
  <c r="C857" i="1"/>
  <c r="C856" i="1"/>
  <c r="C855" i="1"/>
  <c r="C854" i="1"/>
  <c r="C853" i="1"/>
  <c r="C852" i="1"/>
  <c r="C851" i="1"/>
  <c r="C850" i="1"/>
  <c r="C849" i="1"/>
  <c r="C848" i="1"/>
  <c r="C847" i="1"/>
  <c r="C846" i="1"/>
  <c r="C845" i="1"/>
  <c r="C842" i="1"/>
  <c r="C840" i="1"/>
  <c r="C834" i="1"/>
  <c r="C833" i="1"/>
  <c r="C832" i="1"/>
  <c r="C831" i="1"/>
  <c r="C830" i="1"/>
  <c r="C829" i="1"/>
  <c r="C828" i="1"/>
  <c r="C827" i="1"/>
  <c r="C826" i="1"/>
  <c r="C825" i="1"/>
  <c r="C822" i="1"/>
  <c r="C820" i="1"/>
  <c r="C814" i="1"/>
  <c r="C813" i="1"/>
  <c r="C812" i="1"/>
  <c r="C811" i="1"/>
  <c r="C810" i="1"/>
  <c r="C809" i="1"/>
  <c r="C808" i="1"/>
  <c r="C807" i="1"/>
  <c r="C806" i="1"/>
  <c r="C805" i="1"/>
  <c r="C804" i="1"/>
  <c r="C803" i="1"/>
  <c r="C802" i="1"/>
  <c r="C801" i="1"/>
  <c r="C800" i="1"/>
  <c r="C799" i="1"/>
  <c r="C798" i="1"/>
  <c r="C797" i="1"/>
  <c r="C796" i="1"/>
  <c r="C793" i="1"/>
  <c r="C791" i="1"/>
  <c r="C785" i="1"/>
  <c r="C784" i="1"/>
  <c r="C783" i="1"/>
  <c r="C782" i="1"/>
  <c r="C781" i="1"/>
  <c r="C780" i="1"/>
  <c r="C779" i="1"/>
  <c r="C778" i="1"/>
  <c r="C777" i="1"/>
  <c r="C776" i="1"/>
  <c r="C775" i="1"/>
  <c r="C774" i="1"/>
  <c r="C773" i="1"/>
  <c r="C770" i="1"/>
  <c r="C768" i="1"/>
  <c r="C762" i="1"/>
  <c r="C761" i="1"/>
  <c r="C760" i="1"/>
  <c r="C759" i="1"/>
  <c r="C758" i="1"/>
  <c r="C757" i="1"/>
  <c r="C756" i="1"/>
  <c r="C755" i="1"/>
  <c r="C754" i="1"/>
  <c r="C751" i="1"/>
  <c r="C749" i="1"/>
  <c r="C743" i="1"/>
  <c r="C742" i="1"/>
  <c r="C741" i="1"/>
  <c r="C740" i="1"/>
  <c r="C739" i="1"/>
  <c r="C738" i="1"/>
  <c r="C737" i="1"/>
  <c r="C736" i="1"/>
  <c r="C735" i="1"/>
  <c r="C734" i="1"/>
  <c r="C733" i="1"/>
  <c r="C732" i="1"/>
  <c r="C731" i="1"/>
  <c r="C730" i="1"/>
  <c r="C729" i="1"/>
  <c r="C728" i="1"/>
  <c r="C727" i="1"/>
  <c r="C726" i="1"/>
  <c r="C725" i="1"/>
  <c r="C724" i="1"/>
  <c r="C723" i="1"/>
  <c r="C722" i="1"/>
  <c r="C719" i="1"/>
  <c r="C717" i="1"/>
  <c r="C711" i="1"/>
  <c r="C710" i="1"/>
  <c r="C709" i="1"/>
  <c r="C708" i="1"/>
  <c r="C707" i="1"/>
  <c r="C704" i="1"/>
  <c r="C702" i="1"/>
  <c r="C696" i="1"/>
  <c r="C695" i="1"/>
  <c r="C694" i="1"/>
  <c r="C693" i="1"/>
  <c r="C690" i="1"/>
  <c r="C688"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4" i="1"/>
  <c r="C632" i="1"/>
  <c r="C626" i="1"/>
  <c r="C625" i="1"/>
  <c r="C624" i="1"/>
  <c r="C623" i="1"/>
  <c r="C622" i="1"/>
  <c r="C621" i="1"/>
  <c r="C620" i="1"/>
  <c r="C619" i="1"/>
  <c r="C618" i="1"/>
  <c r="C617" i="1"/>
  <c r="C616" i="1"/>
  <c r="C615" i="1"/>
  <c r="C614" i="1"/>
  <c r="C613" i="1"/>
  <c r="C612" i="1"/>
  <c r="C611" i="1"/>
  <c r="C608" i="1"/>
  <c r="C606" i="1"/>
  <c r="C600" i="1"/>
  <c r="C599" i="1"/>
  <c r="C598" i="1"/>
  <c r="C597" i="1"/>
  <c r="C596" i="1"/>
  <c r="C595" i="1"/>
  <c r="C594" i="1"/>
  <c r="C593" i="1"/>
  <c r="C592" i="1"/>
  <c r="C591" i="1"/>
  <c r="C590" i="1"/>
  <c r="C589" i="1"/>
  <c r="C588" i="1"/>
  <c r="C587" i="1"/>
  <c r="C586" i="1"/>
  <c r="C585" i="1"/>
  <c r="C584" i="1"/>
  <c r="C583" i="1"/>
  <c r="C580" i="1"/>
  <c r="C578" i="1"/>
  <c r="C572" i="1"/>
  <c r="C571" i="1"/>
  <c r="C570" i="1"/>
  <c r="C569" i="1"/>
  <c r="C568" i="1"/>
  <c r="C567" i="1"/>
  <c r="C566" i="1"/>
  <c r="C565" i="1"/>
  <c r="C564" i="1"/>
  <c r="C563" i="1"/>
  <c r="C562" i="1"/>
  <c r="C561" i="1"/>
  <c r="C560" i="1"/>
  <c r="C557" i="1"/>
  <c r="C555" i="1"/>
  <c r="C549" i="1"/>
  <c r="C548" i="1"/>
  <c r="C547" i="1"/>
  <c r="C546" i="1"/>
  <c r="C545" i="1"/>
  <c r="C544" i="1"/>
  <c r="C543" i="1"/>
  <c r="C540" i="1"/>
  <c r="C538" i="1"/>
  <c r="C532" i="1"/>
  <c r="C531" i="1"/>
  <c r="C530" i="1"/>
  <c r="C529" i="1"/>
  <c r="C528" i="1"/>
  <c r="C527" i="1"/>
  <c r="C526" i="1"/>
  <c r="C525" i="1"/>
  <c r="C524" i="1"/>
  <c r="C523" i="1"/>
  <c r="C522" i="1"/>
  <c r="C519" i="1"/>
  <c r="C517" i="1"/>
  <c r="C511" i="1"/>
  <c r="C508" i="1"/>
  <c r="C506" i="1"/>
  <c r="C500" i="1"/>
  <c r="C499" i="1"/>
  <c r="C498" i="1"/>
  <c r="C497" i="1"/>
  <c r="C496" i="1"/>
  <c r="C495" i="1"/>
  <c r="C494" i="1"/>
  <c r="C491" i="1"/>
  <c r="C489" i="1"/>
  <c r="C483" i="1"/>
  <c r="C482" i="1"/>
  <c r="C479" i="1"/>
  <c r="C477" i="1"/>
  <c r="C471" i="1"/>
  <c r="C468" i="1"/>
  <c r="C466" i="1"/>
  <c r="C460" i="1"/>
  <c r="C457" i="1"/>
  <c r="C455" i="1"/>
  <c r="C449" i="1"/>
  <c r="C448" i="1"/>
  <c r="C447" i="1"/>
  <c r="C446" i="1"/>
  <c r="C445" i="1"/>
  <c r="C444" i="1"/>
  <c r="C443" i="1"/>
  <c r="C442" i="1"/>
  <c r="C439" i="1"/>
  <c r="C437" i="1"/>
  <c r="C431" i="1"/>
  <c r="C428" i="1"/>
  <c r="C426" i="1"/>
  <c r="C420" i="1"/>
  <c r="C419" i="1"/>
  <c r="C418" i="1"/>
  <c r="C415" i="1"/>
  <c r="C413" i="1"/>
  <c r="C407" i="1"/>
  <c r="C406" i="1"/>
  <c r="C405" i="1"/>
  <c r="C404" i="1"/>
  <c r="C403" i="1"/>
  <c r="C400" i="1"/>
  <c r="C398" i="1"/>
  <c r="C392" i="1"/>
  <c r="C391" i="1"/>
  <c r="C388" i="1"/>
  <c r="C386" i="1"/>
  <c r="C380" i="1"/>
  <c r="C379" i="1"/>
  <c r="C376" i="1"/>
  <c r="C374"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39" i="1"/>
  <c r="C337" i="1"/>
  <c r="C331" i="1"/>
  <c r="C328" i="1"/>
  <c r="C326" i="1"/>
  <c r="C320" i="1"/>
  <c r="C317" i="1"/>
  <c r="C315" i="1"/>
  <c r="C309" i="1"/>
  <c r="C306" i="1"/>
  <c r="C304" i="1"/>
  <c r="C298" i="1"/>
  <c r="C295" i="1"/>
  <c r="C293" i="1"/>
  <c r="C287" i="1"/>
  <c r="C286" i="1"/>
  <c r="C285" i="1"/>
  <c r="C284" i="1"/>
  <c r="C283" i="1"/>
  <c r="C282" i="1"/>
  <c r="C281" i="1"/>
  <c r="C280" i="1"/>
  <c r="C279" i="1"/>
  <c r="C278" i="1"/>
  <c r="C277" i="1"/>
  <c r="C276" i="1"/>
  <c r="C275" i="1"/>
  <c r="C274" i="1"/>
  <c r="C273" i="1"/>
  <c r="C272" i="1"/>
  <c r="C271" i="1"/>
  <c r="C270" i="1"/>
  <c r="C269" i="1"/>
  <c r="C268" i="1"/>
  <c r="C265" i="1"/>
  <c r="C263" i="1"/>
  <c r="C257" i="1"/>
  <c r="C254" i="1"/>
  <c r="C252"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19" i="1"/>
  <c r="C217" i="1"/>
  <c r="C211" i="1"/>
  <c r="C208" i="1"/>
  <c r="C206" i="1"/>
  <c r="C200" i="1"/>
  <c r="C199" i="1"/>
  <c r="C198" i="1"/>
  <c r="C197" i="1"/>
  <c r="C196" i="1"/>
  <c r="C195" i="1"/>
  <c r="C194" i="1"/>
  <c r="C193" i="1"/>
  <c r="C192" i="1"/>
  <c r="C191" i="1"/>
  <c r="C190" i="1"/>
  <c r="C189" i="1"/>
  <c r="C188" i="1"/>
  <c r="C187" i="1"/>
  <c r="C186" i="1"/>
  <c r="C185" i="1"/>
  <c r="C184" i="1"/>
  <c r="C183" i="1"/>
  <c r="C182" i="1"/>
  <c r="C179" i="1"/>
  <c r="C177" i="1"/>
  <c r="C171" i="1"/>
  <c r="C170" i="1"/>
  <c r="C169" i="1"/>
  <c r="C168" i="1"/>
  <c r="C167" i="1"/>
  <c r="C166" i="1"/>
  <c r="C165" i="1"/>
  <c r="C164" i="1"/>
  <c r="C163" i="1"/>
  <c r="C162" i="1"/>
  <c r="C161" i="1"/>
  <c r="C160" i="1"/>
  <c r="C159" i="1"/>
  <c r="C158" i="1"/>
  <c r="C157" i="1"/>
  <c r="C156" i="1"/>
  <c r="C155" i="1"/>
  <c r="C154" i="1"/>
  <c r="C153" i="1"/>
  <c r="C152" i="1"/>
  <c r="C151" i="1"/>
  <c r="C150" i="1"/>
  <c r="C149" i="1"/>
  <c r="C146" i="1"/>
  <c r="C144" i="1"/>
  <c r="C138" i="1"/>
  <c r="C137" i="1"/>
  <c r="C136" i="1"/>
  <c r="C135" i="1"/>
  <c r="C134" i="1"/>
  <c r="C133" i="1"/>
  <c r="C132" i="1"/>
  <c r="C131" i="1"/>
  <c r="C130" i="1"/>
  <c r="C129" i="1"/>
  <c r="C128" i="1"/>
  <c r="C127" i="1"/>
  <c r="C124" i="1"/>
  <c r="C122"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6" i="1"/>
  <c r="C84" i="1"/>
  <c r="C78" i="1"/>
  <c r="C77" i="1"/>
  <c r="C76" i="1"/>
  <c r="C75" i="1"/>
  <c r="C74" i="1"/>
  <c r="C71" i="1"/>
  <c r="C69"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0" i="1"/>
  <c r="C18" i="1"/>
  <c r="B3" i="1"/>
  <c r="F1512" i="1"/>
  <c r="B1510" i="1"/>
  <c r="B1497" i="1"/>
  <c r="F1495" i="1"/>
  <c r="B1493" i="1"/>
  <c r="F1491" i="1"/>
  <c r="B1489" i="1"/>
  <c r="F1487" i="1"/>
  <c r="B1485" i="1"/>
  <c r="F1483" i="1"/>
  <c r="F1470" i="1"/>
  <c r="B1468" i="1"/>
  <c r="F1466" i="1"/>
  <c r="B1464" i="1"/>
  <c r="F1462" i="1"/>
  <c r="B1460" i="1"/>
  <c r="F1458" i="1"/>
  <c r="B1456" i="1"/>
  <c r="F1454" i="1"/>
  <c r="B1452" i="1"/>
  <c r="F1450" i="1"/>
  <c r="B1448" i="1"/>
  <c r="F1446" i="1"/>
  <c r="B1444" i="1"/>
  <c r="F1442" i="1"/>
  <c r="B1431" i="1"/>
  <c r="F1429" i="1"/>
  <c r="B1427" i="1"/>
  <c r="F1425" i="1"/>
  <c r="B1423" i="1"/>
  <c r="F1421" i="1"/>
  <c r="B1410" i="1"/>
  <c r="F1408" i="1"/>
  <c r="B1406" i="1"/>
  <c r="F1404" i="1"/>
  <c r="B1402" i="1"/>
  <c r="F1400" i="1"/>
  <c r="B1398" i="1"/>
  <c r="F1396" i="1"/>
  <c r="B1394" i="1"/>
  <c r="F1392" i="1"/>
  <c r="B1390" i="1"/>
  <c r="F1388" i="1"/>
  <c r="B1386" i="1"/>
  <c r="F1375" i="1"/>
  <c r="B1373" i="1"/>
  <c r="F1371" i="1"/>
  <c r="B1360" i="1"/>
  <c r="F1358" i="1"/>
  <c r="B1356" i="1"/>
  <c r="F1354" i="1"/>
  <c r="B1352" i="1"/>
  <c r="F1350" i="1"/>
  <c r="B1348" i="1"/>
  <c r="F1346" i="1"/>
  <c r="B1344" i="1"/>
  <c r="F1342" i="1"/>
  <c r="B1340" i="1"/>
  <c r="F1338" i="1"/>
  <c r="B1336" i="1"/>
  <c r="F1334" i="1"/>
  <c r="B1332" i="1"/>
  <c r="F1330" i="1"/>
  <c r="F1317" i="1"/>
  <c r="B1315" i="1"/>
  <c r="B1302" i="1"/>
  <c r="F1300" i="1"/>
  <c r="B1298" i="1"/>
  <c r="F1296" i="1"/>
  <c r="B1294" i="1"/>
  <c r="B1281" i="1"/>
  <c r="F1279" i="1"/>
  <c r="F1513" i="1"/>
  <c r="B1511" i="1"/>
  <c r="F1509" i="1"/>
  <c r="B1512" i="1"/>
  <c r="F1510" i="1"/>
  <c r="F1497" i="1"/>
  <c r="B1495" i="1"/>
  <c r="F1493" i="1"/>
  <c r="B1491" i="1"/>
  <c r="F1489" i="1"/>
  <c r="B1487" i="1"/>
  <c r="F1485" i="1"/>
  <c r="B1483" i="1"/>
  <c r="B1470" i="1"/>
  <c r="F1468" i="1"/>
  <c r="B1466" i="1"/>
  <c r="F1464" i="1"/>
  <c r="B1462" i="1"/>
  <c r="F1460" i="1"/>
  <c r="B1458" i="1"/>
  <c r="F1456" i="1"/>
  <c r="B1454" i="1"/>
  <c r="F1452" i="1"/>
  <c r="B1450" i="1"/>
  <c r="F1448" i="1"/>
  <c r="B1446" i="1"/>
  <c r="F1444" i="1"/>
  <c r="B1442" i="1"/>
  <c r="F1431" i="1"/>
  <c r="B1429" i="1"/>
  <c r="F1427" i="1"/>
  <c r="B1425" i="1"/>
  <c r="F1423" i="1"/>
  <c r="B1421" i="1"/>
  <c r="F1410" i="1"/>
  <c r="B1408" i="1"/>
  <c r="F1406" i="1"/>
  <c r="B1404" i="1"/>
  <c r="F1402" i="1"/>
  <c r="B1400" i="1"/>
  <c r="F1398" i="1"/>
  <c r="B1396" i="1"/>
  <c r="F1394" i="1"/>
  <c r="B1392" i="1"/>
  <c r="F1390" i="1"/>
  <c r="B1388" i="1"/>
  <c r="F1386" i="1"/>
  <c r="B1375" i="1"/>
  <c r="F1373" i="1"/>
  <c r="B1371" i="1"/>
  <c r="F1360" i="1"/>
  <c r="B1358" i="1"/>
  <c r="F1356" i="1"/>
  <c r="B1354" i="1"/>
  <c r="F1352" i="1"/>
  <c r="B1350" i="1"/>
  <c r="F1348" i="1"/>
  <c r="B1346" i="1"/>
  <c r="F1344" i="1"/>
  <c r="B1342" i="1"/>
  <c r="F1340" i="1"/>
  <c r="B1338" i="1"/>
  <c r="F1336" i="1"/>
  <c r="B1334" i="1"/>
  <c r="F1332" i="1"/>
  <c r="B1330" i="1"/>
  <c r="B1317" i="1"/>
  <c r="F1315" i="1"/>
  <c r="F1302" i="1"/>
  <c r="B1300" i="1"/>
  <c r="F1298" i="1"/>
  <c r="B1296" i="1"/>
  <c r="F1294" i="1"/>
  <c r="F1281" i="1"/>
  <c r="B1279" i="1"/>
  <c r="F1277" i="1"/>
  <c r="B1513" i="1"/>
  <c r="F1511" i="1"/>
  <c r="B1509" i="1"/>
  <c r="F1498" i="1"/>
  <c r="B1496" i="1"/>
  <c r="F1494" i="1"/>
  <c r="B1492" i="1"/>
  <c r="F1490" i="1"/>
  <c r="B1488" i="1"/>
  <c r="F1486" i="1"/>
  <c r="B1484" i="1"/>
  <c r="F1482" i="1"/>
  <c r="B1471" i="1"/>
  <c r="F1469" i="1"/>
  <c r="B1467" i="1"/>
  <c r="F1465" i="1"/>
  <c r="B1463" i="1"/>
  <c r="F1461" i="1"/>
  <c r="B1459" i="1"/>
  <c r="F1457" i="1"/>
  <c r="B1455" i="1"/>
  <c r="F1453" i="1"/>
  <c r="B1451" i="1"/>
  <c r="F1449" i="1"/>
  <c r="B1447" i="1"/>
  <c r="F1445" i="1"/>
  <c r="B1443" i="1"/>
  <c r="B1430" i="1"/>
  <c r="F1428" i="1"/>
  <c r="B1426" i="1"/>
  <c r="F1424" i="1"/>
  <c r="B1422" i="1"/>
  <c r="B1409" i="1"/>
  <c r="F1407" i="1"/>
  <c r="B1405" i="1"/>
  <c r="F1403" i="1"/>
  <c r="B1401" i="1"/>
  <c r="F1399" i="1"/>
  <c r="B1397" i="1"/>
  <c r="F1395" i="1"/>
  <c r="B1393" i="1"/>
  <c r="F1391" i="1"/>
  <c r="B1389" i="1"/>
  <c r="F1387" i="1"/>
  <c r="F1374" i="1"/>
  <c r="B1372" i="1"/>
  <c r="B1359" i="1"/>
  <c r="F1357" i="1"/>
  <c r="B1355" i="1"/>
  <c r="F1353" i="1"/>
  <c r="B1351" i="1"/>
  <c r="F1349" i="1"/>
  <c r="B1347" i="1"/>
  <c r="F1345" i="1"/>
  <c r="B1343" i="1"/>
  <c r="F1341" i="1"/>
  <c r="B1339" i="1"/>
  <c r="F1337" i="1"/>
  <c r="B1335" i="1"/>
  <c r="F1333" i="1"/>
  <c r="B1331" i="1"/>
  <c r="F1329" i="1"/>
  <c r="B1318" i="1"/>
  <c r="F1316" i="1"/>
  <c r="B1314" i="1"/>
  <c r="F1303" i="1"/>
  <c r="B1301" i="1"/>
  <c r="F1299" i="1"/>
  <c r="B1297" i="1"/>
  <c r="F1295" i="1"/>
  <c r="B1293" i="1"/>
  <c r="F1282" i="1"/>
  <c r="B1280" i="1"/>
  <c r="F1278" i="1"/>
  <c r="B1276" i="1"/>
  <c r="F1274" i="1"/>
  <c r="B1272" i="1"/>
  <c r="F1270" i="1"/>
  <c r="F1257" i="1"/>
  <c r="B1255" i="1"/>
  <c r="F1253" i="1"/>
  <c r="B1251" i="1"/>
  <c r="F1249" i="1"/>
  <c r="B1247" i="1"/>
  <c r="F1245" i="1"/>
  <c r="B1243" i="1"/>
  <c r="F1241" i="1"/>
  <c r="B1239" i="1"/>
  <c r="F1228" i="1"/>
  <c r="B1217" i="1"/>
  <c r="F1215" i="1"/>
  <c r="B1213" i="1"/>
  <c r="F1211" i="1"/>
  <c r="B1209" i="1"/>
  <c r="F1207" i="1"/>
  <c r="B1205" i="1"/>
  <c r="F1203" i="1"/>
  <c r="B1201" i="1"/>
  <c r="F1199" i="1"/>
  <c r="B1197" i="1"/>
  <c r="F1195" i="1"/>
  <c r="B1193" i="1"/>
  <c r="F1191" i="1"/>
  <c r="B1189" i="1"/>
  <c r="B1176" i="1"/>
  <c r="F1174" i="1"/>
  <c r="B1172" i="1"/>
  <c r="F1170" i="1"/>
  <c r="B1168" i="1"/>
  <c r="F1166" i="1"/>
  <c r="B1155" i="1"/>
  <c r="F1153" i="1"/>
  <c r="B1151" i="1"/>
  <c r="F1149" i="1"/>
  <c r="B1147" i="1"/>
  <c r="F1145" i="1"/>
  <c r="B1143" i="1"/>
  <c r="F1141" i="1"/>
  <c r="B1139" i="1"/>
  <c r="F1137" i="1"/>
  <c r="B1135" i="1"/>
  <c r="F1133" i="1"/>
  <c r="B1131" i="1"/>
  <c r="B1118" i="1"/>
  <c r="B1498" i="1"/>
  <c r="F1492" i="1"/>
  <c r="B1490" i="1"/>
  <c r="F1484" i="1"/>
  <c r="B1482" i="1"/>
  <c r="F1430" i="1"/>
  <c r="B1428" i="1"/>
  <c r="F1422" i="1"/>
  <c r="F1359" i="1"/>
  <c r="B1357" i="1"/>
  <c r="F1351" i="1"/>
  <c r="B1349" i="1"/>
  <c r="F1343" i="1"/>
  <c r="B1341" i="1"/>
  <c r="F1335" i="1"/>
  <c r="B1333" i="1"/>
  <c r="B1303" i="1"/>
  <c r="F1297" i="1"/>
  <c r="B1295" i="1"/>
  <c r="F1276" i="1"/>
  <c r="B1275" i="1"/>
  <c r="F1271" i="1"/>
  <c r="B1270" i="1"/>
  <c r="B1258" i="1"/>
  <c r="F1254" i="1"/>
  <c r="B1253" i="1"/>
  <c r="F1251" i="1"/>
  <c r="B1250" i="1"/>
  <c r="F1246" i="1"/>
  <c r="B1245" i="1"/>
  <c r="F1243" i="1"/>
  <c r="B1242" i="1"/>
  <c r="B1228" i="1"/>
  <c r="F1217" i="1"/>
  <c r="B1216" i="1"/>
  <c r="F1212" i="1"/>
  <c r="B1211" i="1"/>
  <c r="F1209" i="1"/>
  <c r="B1208" i="1"/>
  <c r="F1204" i="1"/>
  <c r="B1203" i="1"/>
  <c r="F1201" i="1"/>
  <c r="B1200" i="1"/>
  <c r="F1196" i="1"/>
  <c r="B1195" i="1"/>
  <c r="F1193" i="1"/>
  <c r="B1192" i="1"/>
  <c r="F1188" i="1"/>
  <c r="B1177" i="1"/>
  <c r="F1173" i="1"/>
  <c r="B1169" i="1"/>
  <c r="B1152" i="1"/>
  <c r="F1148" i="1"/>
  <c r="B1144" i="1"/>
  <c r="F1140" i="1"/>
  <c r="B1136" i="1"/>
  <c r="F1132" i="1"/>
  <c r="F1117" i="1"/>
  <c r="B1115" i="1"/>
  <c r="F1104" i="1"/>
  <c r="B1102" i="1"/>
  <c r="F1100" i="1"/>
  <c r="B1098" i="1"/>
  <c r="F1096" i="1"/>
  <c r="B1094" i="1"/>
  <c r="F1092" i="1"/>
  <c r="B1090" i="1"/>
  <c r="F1088" i="1"/>
  <c r="B1086" i="1"/>
  <c r="F1084" i="1"/>
  <c r="B1082" i="1"/>
  <c r="F1080" i="1"/>
  <c r="B1078" i="1"/>
  <c r="F1076" i="1"/>
  <c r="B1074" i="1"/>
  <c r="F1072" i="1"/>
  <c r="B1070" i="1"/>
  <c r="F1068" i="1"/>
  <c r="B1066" i="1"/>
  <c r="F1064" i="1"/>
  <c r="B1053" i="1"/>
  <c r="B1040" i="1"/>
  <c r="F1038" i="1"/>
  <c r="B1027" i="1"/>
  <c r="F1025" i="1"/>
  <c r="B1001" i="1"/>
  <c r="F977" i="1"/>
  <c r="B975" i="1"/>
  <c r="F973" i="1"/>
  <c r="B971" i="1"/>
  <c r="F969" i="1"/>
  <c r="B967" i="1"/>
  <c r="F965" i="1"/>
  <c r="B963" i="1"/>
  <c r="F961" i="1"/>
  <c r="B959" i="1"/>
  <c r="F957" i="1"/>
  <c r="B955" i="1"/>
  <c r="F953" i="1"/>
  <c r="B951" i="1"/>
  <c r="F949" i="1"/>
  <c r="B947" i="1"/>
  <c r="F945" i="1"/>
  <c r="B943" i="1"/>
  <c r="F941" i="1"/>
  <c r="B939" i="1"/>
  <c r="F937" i="1"/>
  <c r="B935" i="1"/>
  <c r="F933" i="1"/>
  <c r="B931" i="1"/>
  <c r="F929" i="1"/>
  <c r="B918" i="1"/>
  <c r="F916" i="1"/>
  <c r="B914" i="1"/>
  <c r="F912" i="1"/>
  <c r="F1467" i="1"/>
  <c r="B1465" i="1"/>
  <c r="F1459" i="1"/>
  <c r="B1457" i="1"/>
  <c r="F1451" i="1"/>
  <c r="B1449" i="1"/>
  <c r="F1443" i="1"/>
  <c r="F1405" i="1"/>
  <c r="B1403" i="1"/>
  <c r="F1397" i="1"/>
  <c r="B1395" i="1"/>
  <c r="F1389" i="1"/>
  <c r="B1387" i="1"/>
  <c r="F1372" i="1"/>
  <c r="F1318" i="1"/>
  <c r="B1316" i="1"/>
  <c r="F1280" i="1"/>
  <c r="B1278" i="1"/>
  <c r="B1273" i="1"/>
  <c r="F1269" i="1"/>
  <c r="B1256" i="1"/>
  <c r="F1252" i="1"/>
  <c r="B1248" i="1"/>
  <c r="F1244" i="1"/>
  <c r="B1240" i="1"/>
  <c r="B1214" i="1"/>
  <c r="F1210" i="1"/>
  <c r="B1206" i="1"/>
  <c r="F1202" i="1"/>
  <c r="B1198" i="1"/>
  <c r="F1194" i="1"/>
  <c r="B1190" i="1"/>
  <c r="F1176" i="1"/>
  <c r="B1175" i="1"/>
  <c r="F1171" i="1"/>
  <c r="B1170" i="1"/>
  <c r="F1168" i="1"/>
  <c r="B1167" i="1"/>
  <c r="F1154" i="1"/>
  <c r="B1153" i="1"/>
  <c r="F1151" i="1"/>
  <c r="B1150" i="1"/>
  <c r="F1146" i="1"/>
  <c r="B1145" i="1"/>
  <c r="F1143" i="1"/>
  <c r="B1142" i="1"/>
  <c r="F1138" i="1"/>
  <c r="B1137" i="1"/>
  <c r="F1135" i="1"/>
  <c r="B1134" i="1"/>
  <c r="F1130" i="1"/>
  <c r="B1119" i="1"/>
  <c r="B1116" i="1"/>
  <c r="B1103" i="1"/>
  <c r="F1101" i="1"/>
  <c r="B1099" i="1"/>
  <c r="F1097" i="1"/>
  <c r="B1095" i="1"/>
  <c r="F1093" i="1"/>
  <c r="B1091" i="1"/>
  <c r="F1089" i="1"/>
  <c r="B1087" i="1"/>
  <c r="F1085" i="1"/>
  <c r="B1083" i="1"/>
  <c r="F1081" i="1"/>
  <c r="B1079" i="1"/>
  <c r="F1077" i="1"/>
  <c r="B1075" i="1"/>
  <c r="F1073" i="1"/>
  <c r="B1071" i="1"/>
  <c r="F1069" i="1"/>
  <c r="B1067" i="1"/>
  <c r="F1065" i="1"/>
  <c r="F1052" i="1"/>
  <c r="B1041" i="1"/>
  <c r="F1039" i="1"/>
  <c r="F1026" i="1"/>
  <c r="B1024" i="1"/>
  <c r="F1013" i="1"/>
  <c r="B1002" i="1"/>
  <c r="F1000" i="1"/>
  <c r="B989" i="1"/>
  <c r="F978" i="1"/>
  <c r="B976" i="1"/>
  <c r="F1496" i="1"/>
  <c r="B1494" i="1"/>
  <c r="F1488" i="1"/>
  <c r="B1486" i="1"/>
  <c r="F1426" i="1"/>
  <c r="B1424" i="1"/>
  <c r="F1355" i="1"/>
  <c r="B1353" i="1"/>
  <c r="F1347" i="1"/>
  <c r="B1345" i="1"/>
  <c r="F1339" i="1"/>
  <c r="B1337" i="1"/>
  <c r="F1331" i="1"/>
  <c r="B1329" i="1"/>
  <c r="F1301" i="1"/>
  <c r="B1299" i="1"/>
  <c r="F1293" i="1"/>
  <c r="F1275" i="1"/>
  <c r="B1274" i="1"/>
  <c r="F1272" i="1"/>
  <c r="B1271" i="1"/>
  <c r="F1258" i="1"/>
  <c r="B1257" i="1"/>
  <c r="F1255" i="1"/>
  <c r="B1254" i="1"/>
  <c r="F1250" i="1"/>
  <c r="B1249" i="1"/>
  <c r="F1247" i="1"/>
  <c r="B1246" i="1"/>
  <c r="F1242" i="1"/>
  <c r="B1241" i="1"/>
  <c r="F1239" i="1"/>
  <c r="F1216" i="1"/>
  <c r="B1215" i="1"/>
  <c r="F1213" i="1"/>
  <c r="B1212" i="1"/>
  <c r="F1208" i="1"/>
  <c r="B1207" i="1"/>
  <c r="F1205" i="1"/>
  <c r="B1204" i="1"/>
  <c r="F1200" i="1"/>
  <c r="B1199" i="1"/>
  <c r="F1197" i="1"/>
  <c r="B1196" i="1"/>
  <c r="F1192" i="1"/>
  <c r="B1191" i="1"/>
  <c r="F1189" i="1"/>
  <c r="B1188" i="1"/>
  <c r="F1177" i="1"/>
  <c r="B1173" i="1"/>
  <c r="F1169" i="1"/>
  <c r="F1152" i="1"/>
  <c r="B1148" i="1"/>
  <c r="F1144" i="1"/>
  <c r="B1140" i="1"/>
  <c r="F1136" i="1"/>
  <c r="B1132" i="1"/>
  <c r="F1118" i="1"/>
  <c r="B1117" i="1"/>
  <c r="F1115" i="1"/>
  <c r="B1104" i="1"/>
  <c r="F1102" i="1"/>
  <c r="B1100" i="1"/>
  <c r="F1098" i="1"/>
  <c r="B1096" i="1"/>
  <c r="F1094" i="1"/>
  <c r="B1092" i="1"/>
  <c r="F1090" i="1"/>
  <c r="B1088" i="1"/>
  <c r="F1086" i="1"/>
  <c r="B1084" i="1"/>
  <c r="F1082" i="1"/>
  <c r="B1080" i="1"/>
  <c r="F1078" i="1"/>
  <c r="B1076" i="1"/>
  <c r="F1074" i="1"/>
  <c r="B1072" i="1"/>
  <c r="F1070" i="1"/>
  <c r="B1068" i="1"/>
  <c r="F1066" i="1"/>
  <c r="B1064" i="1"/>
  <c r="F1053" i="1"/>
  <c r="F1040" i="1"/>
  <c r="B1038" i="1"/>
  <c r="F1027" i="1"/>
  <c r="B1025" i="1"/>
  <c r="F1001" i="1"/>
  <c r="B977" i="1"/>
  <c r="F975" i="1"/>
  <c r="B973" i="1"/>
  <c r="F971" i="1"/>
  <c r="B969" i="1"/>
  <c r="F967" i="1"/>
  <c r="B965" i="1"/>
  <c r="F963" i="1"/>
  <c r="B961" i="1"/>
  <c r="F959" i="1"/>
  <c r="B957" i="1"/>
  <c r="F955" i="1"/>
  <c r="B953" i="1"/>
  <c r="F951" i="1"/>
  <c r="B949" i="1"/>
  <c r="F947" i="1"/>
  <c r="B945" i="1"/>
  <c r="F943" i="1"/>
  <c r="B941" i="1"/>
  <c r="F939" i="1"/>
  <c r="B937" i="1"/>
  <c r="F935" i="1"/>
  <c r="B933" i="1"/>
  <c r="F931" i="1"/>
  <c r="B929" i="1"/>
  <c r="F918" i="1"/>
  <c r="B916" i="1"/>
  <c r="F914" i="1"/>
  <c r="F1463" i="1"/>
  <c r="B1461" i="1"/>
  <c r="F1447" i="1"/>
  <c r="B1445" i="1"/>
  <c r="F1409" i="1"/>
  <c r="B1407" i="1"/>
  <c r="F1393" i="1"/>
  <c r="B1391" i="1"/>
  <c r="B1282" i="1"/>
  <c r="B1269" i="1"/>
  <c r="F1172" i="1"/>
  <c r="B1154" i="1"/>
  <c r="F1150" i="1"/>
  <c r="B1146" i="1"/>
  <c r="F1142" i="1"/>
  <c r="B1138" i="1"/>
  <c r="F1134" i="1"/>
  <c r="B1130" i="1"/>
  <c r="F1099" i="1"/>
  <c r="B1097" i="1"/>
  <c r="F1091" i="1"/>
  <c r="B1089" i="1"/>
  <c r="F1083" i="1"/>
  <c r="B1081" i="1"/>
  <c r="F1075" i="1"/>
  <c r="B1073" i="1"/>
  <c r="F1067" i="1"/>
  <c r="B1065" i="1"/>
  <c r="F989" i="1"/>
  <c r="B974" i="1"/>
  <c r="B972" i="1"/>
  <c r="B970" i="1"/>
  <c r="B968" i="1"/>
  <c r="B966" i="1"/>
  <c r="B964" i="1"/>
  <c r="B962" i="1"/>
  <c r="B960" i="1"/>
  <c r="B958" i="1"/>
  <c r="B956" i="1"/>
  <c r="B954" i="1"/>
  <c r="B952" i="1"/>
  <c r="B950" i="1"/>
  <c r="B948" i="1"/>
  <c r="B946" i="1"/>
  <c r="B944" i="1"/>
  <c r="B942" i="1"/>
  <c r="B940" i="1"/>
  <c r="B938" i="1"/>
  <c r="B936" i="1"/>
  <c r="B934" i="1"/>
  <c r="B932" i="1"/>
  <c r="B930" i="1"/>
  <c r="B917" i="1"/>
  <c r="B915" i="1"/>
  <c r="B913" i="1"/>
  <c r="B910" i="1"/>
  <c r="B897" i="1"/>
  <c r="F895" i="1"/>
  <c r="F882" i="1"/>
  <c r="B880" i="1"/>
  <c r="F878" i="1"/>
  <c r="B876" i="1"/>
  <c r="F874" i="1"/>
  <c r="B872" i="1"/>
  <c r="F861" i="1"/>
  <c r="B859" i="1"/>
  <c r="F857" i="1"/>
  <c r="B855" i="1"/>
  <c r="F853" i="1"/>
  <c r="B851" i="1"/>
  <c r="F849" i="1"/>
  <c r="B847" i="1"/>
  <c r="F845" i="1"/>
  <c r="B834" i="1"/>
  <c r="F832" i="1"/>
  <c r="B830" i="1"/>
  <c r="F828" i="1"/>
  <c r="B826" i="1"/>
  <c r="B813" i="1"/>
  <c r="F811" i="1"/>
  <c r="B809" i="1"/>
  <c r="F807" i="1"/>
  <c r="B805" i="1"/>
  <c r="F803" i="1"/>
  <c r="B801" i="1"/>
  <c r="F799" i="1"/>
  <c r="B797" i="1"/>
  <c r="B784" i="1"/>
  <c r="F782" i="1"/>
  <c r="B780" i="1"/>
  <c r="F778" i="1"/>
  <c r="B776" i="1"/>
  <c r="F774" i="1"/>
  <c r="F761" i="1"/>
  <c r="B759" i="1"/>
  <c r="F757" i="1"/>
  <c r="B755" i="1"/>
  <c r="B742" i="1"/>
  <c r="F740" i="1"/>
  <c r="B738" i="1"/>
  <c r="F736" i="1"/>
  <c r="B734" i="1"/>
  <c r="F732" i="1"/>
  <c r="B730" i="1"/>
  <c r="F728" i="1"/>
  <c r="B726" i="1"/>
  <c r="F724" i="1"/>
  <c r="B722" i="1"/>
  <c r="F711" i="1"/>
  <c r="B709" i="1"/>
  <c r="F707" i="1"/>
  <c r="B696" i="1"/>
  <c r="F694" i="1"/>
  <c r="F681" i="1"/>
  <c r="B679" i="1"/>
  <c r="F677" i="1"/>
  <c r="B675" i="1"/>
  <c r="F673" i="1"/>
  <c r="B671" i="1"/>
  <c r="F669" i="1"/>
  <c r="F1256" i="1"/>
  <c r="B1244" i="1"/>
  <c r="F1240" i="1"/>
  <c r="F1214" i="1"/>
  <c r="B1202" i="1"/>
  <c r="F1198" i="1"/>
  <c r="F1155" i="1"/>
  <c r="F1147" i="1"/>
  <c r="F1139" i="1"/>
  <c r="F1131" i="1"/>
  <c r="F1041" i="1"/>
  <c r="B1039" i="1"/>
  <c r="F1024" i="1"/>
  <c r="F1002" i="1"/>
  <c r="B1000" i="1"/>
  <c r="B978" i="1"/>
  <c r="B911" i="1"/>
  <c r="F909" i="1"/>
  <c r="B898" i="1"/>
  <c r="F896" i="1"/>
  <c r="B894" i="1"/>
  <c r="F883" i="1"/>
  <c r="B881" i="1"/>
  <c r="F879" i="1"/>
  <c r="B877" i="1"/>
  <c r="F875" i="1"/>
  <c r="B873" i="1"/>
  <c r="B860" i="1"/>
  <c r="F858" i="1"/>
  <c r="F1471" i="1"/>
  <c r="B1469" i="1"/>
  <c r="F1455" i="1"/>
  <c r="B1453" i="1"/>
  <c r="F1401" i="1"/>
  <c r="B1399" i="1"/>
  <c r="B1374" i="1"/>
  <c r="F1314" i="1"/>
  <c r="B1277" i="1"/>
  <c r="F1273" i="1"/>
  <c r="B1174" i="1"/>
  <c r="B1166" i="1"/>
  <c r="F1103" i="1"/>
  <c r="B1101" i="1"/>
  <c r="F1095" i="1"/>
  <c r="B1093" i="1"/>
  <c r="F1087" i="1"/>
  <c r="B1085" i="1"/>
  <c r="F1079" i="1"/>
  <c r="B1077" i="1"/>
  <c r="F1071" i="1"/>
  <c r="B1069" i="1"/>
  <c r="B1052" i="1"/>
  <c r="B1013" i="1"/>
  <c r="F974" i="1"/>
  <c r="F972" i="1"/>
  <c r="F970" i="1"/>
  <c r="F968" i="1"/>
  <c r="F966" i="1"/>
  <c r="F964" i="1"/>
  <c r="F962" i="1"/>
  <c r="F960" i="1"/>
  <c r="F958" i="1"/>
  <c r="F956" i="1"/>
  <c r="F954" i="1"/>
  <c r="F952" i="1"/>
  <c r="F950" i="1"/>
  <c r="F948" i="1"/>
  <c r="F946" i="1"/>
  <c r="F944" i="1"/>
  <c r="F942" i="1"/>
  <c r="F940" i="1"/>
  <c r="F938" i="1"/>
  <c r="F936" i="1"/>
  <c r="F934" i="1"/>
  <c r="F932" i="1"/>
  <c r="F930" i="1"/>
  <c r="F917" i="1"/>
  <c r="F915" i="1"/>
  <c r="F913" i="1"/>
  <c r="B912" i="1"/>
  <c r="F910" i="1"/>
  <c r="F897" i="1"/>
  <c r="B895" i="1"/>
  <c r="B882" i="1"/>
  <c r="F880" i="1"/>
  <c r="B878" i="1"/>
  <c r="F876" i="1"/>
  <c r="B874" i="1"/>
  <c r="F872" i="1"/>
  <c r="B861" i="1"/>
  <c r="F859" i="1"/>
  <c r="B857" i="1"/>
  <c r="F855" i="1"/>
  <c r="B853" i="1"/>
  <c r="F851" i="1"/>
  <c r="B849" i="1"/>
  <c r="F847" i="1"/>
  <c r="B845" i="1"/>
  <c r="F834" i="1"/>
  <c r="B832" i="1"/>
  <c r="F830" i="1"/>
  <c r="B828" i="1"/>
  <c r="F826" i="1"/>
  <c r="F813" i="1"/>
  <c r="B811" i="1"/>
  <c r="F809" i="1"/>
  <c r="B807" i="1"/>
  <c r="F805" i="1"/>
  <c r="B803" i="1"/>
  <c r="F801" i="1"/>
  <c r="B799" i="1"/>
  <c r="F797" i="1"/>
  <c r="F784" i="1"/>
  <c r="B782" i="1"/>
  <c r="F780" i="1"/>
  <c r="B778" i="1"/>
  <c r="F776" i="1"/>
  <c r="B774" i="1"/>
  <c r="B761" i="1"/>
  <c r="F759" i="1"/>
  <c r="B757" i="1"/>
  <c r="F755" i="1"/>
  <c r="F742" i="1"/>
  <c r="B740" i="1"/>
  <c r="F738" i="1"/>
  <c r="B736" i="1"/>
  <c r="F734" i="1"/>
  <c r="B732" i="1"/>
  <c r="F730" i="1"/>
  <c r="B728" i="1"/>
  <c r="F726" i="1"/>
  <c r="B724" i="1"/>
  <c r="F722" i="1"/>
  <c r="B711" i="1"/>
  <c r="F709" i="1"/>
  <c r="B707" i="1"/>
  <c r="F696" i="1"/>
  <c r="B694" i="1"/>
  <c r="B681" i="1"/>
  <c r="F679" i="1"/>
  <c r="B677" i="1"/>
  <c r="F675" i="1"/>
  <c r="B673" i="1"/>
  <c r="F671" i="1"/>
  <c r="B669" i="1"/>
  <c r="F667" i="1"/>
  <c r="B665" i="1"/>
  <c r="F663" i="1"/>
  <c r="B661" i="1"/>
  <c r="F659" i="1"/>
  <c r="B657" i="1"/>
  <c r="F655" i="1"/>
  <c r="B653" i="1"/>
  <c r="F651" i="1"/>
  <c r="B649" i="1"/>
  <c r="F647" i="1"/>
  <c r="B645" i="1"/>
  <c r="F643" i="1"/>
  <c r="B1194" i="1"/>
  <c r="F1190" i="1"/>
  <c r="F1175" i="1"/>
  <c r="B1133" i="1"/>
  <c r="F976" i="1"/>
  <c r="B883" i="1"/>
  <c r="F877" i="1"/>
  <c r="B875" i="1"/>
  <c r="F814" i="1"/>
  <c r="F812" i="1"/>
  <c r="F810" i="1"/>
  <c r="F808" i="1"/>
  <c r="F806" i="1"/>
  <c r="F804" i="1"/>
  <c r="F802" i="1"/>
  <c r="F800" i="1"/>
  <c r="F798" i="1"/>
  <c r="F796" i="1"/>
  <c r="B762" i="1"/>
  <c r="B760" i="1"/>
  <c r="B758" i="1"/>
  <c r="B756" i="1"/>
  <c r="B754" i="1"/>
  <c r="F682" i="1"/>
  <c r="F680" i="1"/>
  <c r="F678" i="1"/>
  <c r="F676" i="1"/>
  <c r="F674" i="1"/>
  <c r="F672" i="1"/>
  <c r="F670" i="1"/>
  <c r="F668" i="1"/>
  <c r="B667" i="1"/>
  <c r="F665" i="1"/>
  <c r="B664" i="1"/>
  <c r="F660" i="1"/>
  <c r="B659" i="1"/>
  <c r="F657" i="1"/>
  <c r="B656" i="1"/>
  <c r="F652" i="1"/>
  <c r="B651" i="1"/>
  <c r="F649" i="1"/>
  <c r="B648" i="1"/>
  <c r="F644" i="1"/>
  <c r="B643" i="1"/>
  <c r="F641" i="1"/>
  <c r="B639" i="1"/>
  <c r="F637" i="1"/>
  <c r="B626" i="1"/>
  <c r="F624" i="1"/>
  <c r="B622" i="1"/>
  <c r="F620" i="1"/>
  <c r="B618" i="1"/>
  <c r="F616" i="1"/>
  <c r="B614" i="1"/>
  <c r="F612" i="1"/>
  <c r="F599" i="1"/>
  <c r="B597" i="1"/>
  <c r="F595" i="1"/>
  <c r="B593" i="1"/>
  <c r="F591" i="1"/>
  <c r="B589" i="1"/>
  <c r="F587" i="1"/>
  <c r="B585" i="1"/>
  <c r="F583" i="1"/>
  <c r="B572" i="1"/>
  <c r="F570" i="1"/>
  <c r="B568" i="1"/>
  <c r="F566" i="1"/>
  <c r="B564" i="1"/>
  <c r="F562" i="1"/>
  <c r="B560" i="1"/>
  <c r="F549" i="1"/>
  <c r="B547" i="1"/>
  <c r="F545" i="1"/>
  <c r="B543" i="1"/>
  <c r="F532" i="1"/>
  <c r="B530" i="1"/>
  <c r="F528" i="1"/>
  <c r="B526" i="1"/>
  <c r="F524" i="1"/>
  <c r="B522" i="1"/>
  <c r="F511" i="1"/>
  <c r="B500" i="1"/>
  <c r="F498" i="1"/>
  <c r="B496" i="1"/>
  <c r="F494" i="1"/>
  <c r="B483" i="1"/>
  <c r="B448" i="1"/>
  <c r="F446" i="1"/>
  <c r="B444" i="1"/>
  <c r="F442" i="1"/>
  <c r="B431" i="1"/>
  <c r="F420" i="1"/>
  <c r="B418" i="1"/>
  <c r="F407" i="1"/>
  <c r="B405" i="1"/>
  <c r="F403" i="1"/>
  <c r="B392" i="1"/>
  <c r="B379" i="1"/>
  <c r="F368" i="1"/>
  <c r="B366" i="1"/>
  <c r="F364" i="1"/>
  <c r="B362" i="1"/>
  <c r="F360" i="1"/>
  <c r="B358" i="1"/>
  <c r="F356" i="1"/>
  <c r="B354" i="1"/>
  <c r="F352" i="1"/>
  <c r="B350" i="1"/>
  <c r="F348" i="1"/>
  <c r="B346" i="1"/>
  <c r="F344" i="1"/>
  <c r="B342" i="1"/>
  <c r="F331" i="1"/>
  <c r="B320" i="1"/>
  <c r="F309" i="1"/>
  <c r="B298" i="1"/>
  <c r="F287" i="1"/>
  <c r="B285" i="1"/>
  <c r="F283" i="1"/>
  <c r="B281" i="1"/>
  <c r="F279" i="1"/>
  <c r="B277" i="1"/>
  <c r="F275" i="1"/>
  <c r="B273" i="1"/>
  <c r="F271" i="1"/>
  <c r="B269" i="1"/>
  <c r="F245" i="1"/>
  <c r="B243" i="1"/>
  <c r="F241" i="1"/>
  <c r="B239" i="1"/>
  <c r="F237" i="1"/>
  <c r="B235" i="1"/>
  <c r="F233" i="1"/>
  <c r="B231" i="1"/>
  <c r="F229" i="1"/>
  <c r="B227" i="1"/>
  <c r="F225" i="1"/>
  <c r="B223" i="1"/>
  <c r="F199" i="1"/>
  <c r="B197" i="1"/>
  <c r="F195" i="1"/>
  <c r="F898" i="1"/>
  <c r="B896" i="1"/>
  <c r="F860" i="1"/>
  <c r="B858" i="1"/>
  <c r="B856" i="1"/>
  <c r="B854" i="1"/>
  <c r="B852" i="1"/>
  <c r="B850" i="1"/>
  <c r="B848" i="1"/>
  <c r="B846" i="1"/>
  <c r="B833" i="1"/>
  <c r="B831" i="1"/>
  <c r="B829" i="1"/>
  <c r="B827" i="1"/>
  <c r="B825" i="1"/>
  <c r="F785" i="1"/>
  <c r="F783" i="1"/>
  <c r="F781" i="1"/>
  <c r="F779" i="1"/>
  <c r="F777" i="1"/>
  <c r="F775" i="1"/>
  <c r="F773" i="1"/>
  <c r="B743" i="1"/>
  <c r="B741" i="1"/>
  <c r="B739" i="1"/>
  <c r="B737" i="1"/>
  <c r="B735" i="1"/>
  <c r="B733" i="1"/>
  <c r="B731" i="1"/>
  <c r="B729" i="1"/>
  <c r="B727" i="1"/>
  <c r="B725" i="1"/>
  <c r="B723" i="1"/>
  <c r="B710" i="1"/>
  <c r="B708" i="1"/>
  <c r="B695" i="1"/>
  <c r="B693" i="1"/>
  <c r="F666" i="1"/>
  <c r="B662" i="1"/>
  <c r="F658" i="1"/>
  <c r="B654" i="1"/>
  <c r="F650" i="1"/>
  <c r="B646" i="1"/>
  <c r="F642" i="1"/>
  <c r="B640" i="1"/>
  <c r="F638" i="1"/>
  <c r="F625" i="1"/>
  <c r="B623" i="1"/>
  <c r="F621" i="1"/>
  <c r="B619" i="1"/>
  <c r="F617" i="1"/>
  <c r="B615" i="1"/>
  <c r="F613" i="1"/>
  <c r="B611" i="1"/>
  <c r="F600" i="1"/>
  <c r="B598" i="1"/>
  <c r="F596" i="1"/>
  <c r="B594" i="1"/>
  <c r="F592" i="1"/>
  <c r="B590" i="1"/>
  <c r="F588" i="1"/>
  <c r="B586" i="1"/>
  <c r="F584" i="1"/>
  <c r="F571" i="1"/>
  <c r="B569" i="1"/>
  <c r="F567" i="1"/>
  <c r="B565" i="1"/>
  <c r="F563" i="1"/>
  <c r="B561" i="1"/>
  <c r="B548" i="1"/>
  <c r="F546" i="1"/>
  <c r="B544" i="1"/>
  <c r="B531" i="1"/>
  <c r="F529" i="1"/>
  <c r="B527" i="1"/>
  <c r="F525" i="1"/>
  <c r="B523" i="1"/>
  <c r="F499" i="1"/>
  <c r="B497" i="1"/>
  <c r="F495" i="1"/>
  <c r="F482" i="1"/>
  <c r="B471" i="1"/>
  <c r="F460" i="1"/>
  <c r="B449" i="1"/>
  <c r="F447" i="1"/>
  <c r="B445" i="1"/>
  <c r="F443" i="1"/>
  <c r="B419" i="1"/>
  <c r="B406" i="1"/>
  <c r="F404" i="1"/>
  <c r="F391" i="1"/>
  <c r="B380" i="1"/>
  <c r="B367" i="1"/>
  <c r="F365" i="1"/>
  <c r="B363" i="1"/>
  <c r="F361" i="1"/>
  <c r="B359" i="1"/>
  <c r="F357" i="1"/>
  <c r="B355" i="1"/>
  <c r="F353" i="1"/>
  <c r="B351" i="1"/>
  <c r="F349" i="1"/>
  <c r="B347" i="1"/>
  <c r="F345" i="1"/>
  <c r="B343" i="1"/>
  <c r="B286" i="1"/>
  <c r="F284" i="1"/>
  <c r="B282" i="1"/>
  <c r="F280" i="1"/>
  <c r="B278" i="1"/>
  <c r="F276" i="1"/>
  <c r="B1252" i="1"/>
  <c r="F1248" i="1"/>
  <c r="B1210" i="1"/>
  <c r="F1206" i="1"/>
  <c r="B1171" i="1"/>
  <c r="F1167" i="1"/>
  <c r="B1149" i="1"/>
  <c r="F1119" i="1"/>
  <c r="F1116" i="1"/>
  <c r="B1026" i="1"/>
  <c r="F911" i="1"/>
  <c r="B909" i="1"/>
  <c r="F881" i="1"/>
  <c r="B879" i="1"/>
  <c r="F873" i="1"/>
  <c r="B814" i="1"/>
  <c r="B812" i="1"/>
  <c r="B810" i="1"/>
  <c r="B808" i="1"/>
  <c r="B806" i="1"/>
  <c r="B804" i="1"/>
  <c r="B802" i="1"/>
  <c r="B800" i="1"/>
  <c r="B798" i="1"/>
  <c r="B796" i="1"/>
  <c r="F762" i="1"/>
  <c r="F760" i="1"/>
  <c r="F758" i="1"/>
  <c r="F756" i="1"/>
  <c r="F754" i="1"/>
  <c r="B682" i="1"/>
  <c r="B680" i="1"/>
  <c r="B678" i="1"/>
  <c r="B676" i="1"/>
  <c r="B674" i="1"/>
  <c r="B672" i="1"/>
  <c r="B670" i="1"/>
  <c r="B668" i="1"/>
  <c r="F664" i="1"/>
  <c r="B663" i="1"/>
  <c r="F661" i="1"/>
  <c r="B660" i="1"/>
  <c r="F656" i="1"/>
  <c r="B655" i="1"/>
  <c r="F653" i="1"/>
  <c r="B652" i="1"/>
  <c r="F648" i="1"/>
  <c r="B647" i="1"/>
  <c r="F645" i="1"/>
  <c r="B644" i="1"/>
  <c r="B641" i="1"/>
  <c r="F639" i="1"/>
  <c r="B637" i="1"/>
  <c r="F626" i="1"/>
  <c r="B624" i="1"/>
  <c r="F622" i="1"/>
  <c r="B620" i="1"/>
  <c r="F618" i="1"/>
  <c r="B616" i="1"/>
  <c r="F614" i="1"/>
  <c r="B612" i="1"/>
  <c r="B599" i="1"/>
  <c r="F597" i="1"/>
  <c r="B595" i="1"/>
  <c r="F593" i="1"/>
  <c r="B591" i="1"/>
  <c r="F589" i="1"/>
  <c r="B587" i="1"/>
  <c r="F585" i="1"/>
  <c r="B583" i="1"/>
  <c r="F572" i="1"/>
  <c r="B570" i="1"/>
  <c r="F568" i="1"/>
  <c r="B566" i="1"/>
  <c r="F564" i="1"/>
  <c r="B562" i="1"/>
  <c r="F560" i="1"/>
  <c r="B549" i="1"/>
  <c r="F547" i="1"/>
  <c r="B545" i="1"/>
  <c r="F543" i="1"/>
  <c r="B532" i="1"/>
  <c r="F530" i="1"/>
  <c r="B528" i="1"/>
  <c r="F526" i="1"/>
  <c r="B524" i="1"/>
  <c r="F522" i="1"/>
  <c r="B511" i="1"/>
  <c r="F500" i="1"/>
  <c r="B498" i="1"/>
  <c r="F496" i="1"/>
  <c r="B494" i="1"/>
  <c r="F483" i="1"/>
  <c r="F448" i="1"/>
  <c r="B446" i="1"/>
  <c r="F444" i="1"/>
  <c r="B442" i="1"/>
  <c r="F431" i="1"/>
  <c r="B420" i="1"/>
  <c r="F418" i="1"/>
  <c r="B407" i="1"/>
  <c r="F405" i="1"/>
  <c r="B403" i="1"/>
  <c r="F392" i="1"/>
  <c r="F379" i="1"/>
  <c r="B368" i="1"/>
  <c r="F366" i="1"/>
  <c r="B364" i="1"/>
  <c r="F362" i="1"/>
  <c r="B360" i="1"/>
  <c r="F358" i="1"/>
  <c r="B356" i="1"/>
  <c r="F354" i="1"/>
  <c r="B352" i="1"/>
  <c r="F350" i="1"/>
  <c r="B348" i="1"/>
  <c r="F346" i="1"/>
  <c r="B344" i="1"/>
  <c r="F342" i="1"/>
  <c r="B331" i="1"/>
  <c r="F320" i="1"/>
  <c r="B309" i="1"/>
  <c r="F298" i="1"/>
  <c r="B287" i="1"/>
  <c r="F285" i="1"/>
  <c r="B283" i="1"/>
  <c r="F281" i="1"/>
  <c r="F894" i="1"/>
  <c r="F856" i="1"/>
  <c r="F848" i="1"/>
  <c r="F831" i="1"/>
  <c r="B779" i="1"/>
  <c r="F737" i="1"/>
  <c r="F729" i="1"/>
  <c r="F695" i="1"/>
  <c r="B666" i="1"/>
  <c r="F662" i="1"/>
  <c r="B650" i="1"/>
  <c r="F646" i="1"/>
  <c r="F640" i="1"/>
  <c r="B638" i="1"/>
  <c r="F623" i="1"/>
  <c r="B621" i="1"/>
  <c r="F615" i="1"/>
  <c r="B613" i="1"/>
  <c r="F544" i="1"/>
  <c r="F497" i="1"/>
  <c r="B495" i="1"/>
  <c r="F419" i="1"/>
  <c r="F380" i="1"/>
  <c r="F286" i="1"/>
  <c r="B284" i="1"/>
  <c r="B279" i="1"/>
  <c r="B275" i="1"/>
  <c r="F273" i="1"/>
  <c r="B272" i="1"/>
  <c r="F268" i="1"/>
  <c r="B257" i="1"/>
  <c r="F244" i="1"/>
  <c r="B240" i="1"/>
  <c r="F236" i="1"/>
  <c r="B232" i="1"/>
  <c r="F228" i="1"/>
  <c r="B224" i="1"/>
  <c r="B200" i="1"/>
  <c r="F196" i="1"/>
  <c r="B195" i="1"/>
  <c r="F193" i="1"/>
  <c r="B191" i="1"/>
  <c r="F189" i="1"/>
  <c r="B187" i="1"/>
  <c r="F185" i="1"/>
  <c r="B183" i="1"/>
  <c r="B170" i="1"/>
  <c r="F168" i="1"/>
  <c r="B166" i="1"/>
  <c r="F164" i="1"/>
  <c r="B162" i="1"/>
  <c r="F160" i="1"/>
  <c r="B158" i="1"/>
  <c r="F156" i="1"/>
  <c r="B154" i="1"/>
  <c r="F152" i="1"/>
  <c r="B150" i="1"/>
  <c r="B137" i="1"/>
  <c r="F135" i="1"/>
  <c r="B133" i="1"/>
  <c r="F131" i="1"/>
  <c r="B129" i="1"/>
  <c r="F127" i="1"/>
  <c r="B116" i="1"/>
  <c r="F114" i="1"/>
  <c r="B112" i="1"/>
  <c r="F110" i="1"/>
  <c r="B108" i="1"/>
  <c r="F106" i="1"/>
  <c r="B104" i="1"/>
  <c r="F102" i="1"/>
  <c r="B100" i="1"/>
  <c r="F98" i="1"/>
  <c r="B96" i="1"/>
  <c r="F94" i="1"/>
  <c r="B92" i="1"/>
  <c r="F90" i="1"/>
  <c r="F77" i="1"/>
  <c r="B75" i="1"/>
  <c r="B62" i="1"/>
  <c r="F60" i="1"/>
  <c r="B58" i="1"/>
  <c r="F56" i="1"/>
  <c r="B54" i="1"/>
  <c r="F52" i="1"/>
  <c r="B50" i="1"/>
  <c r="F48" i="1"/>
  <c r="B46" i="1"/>
  <c r="F44" i="1"/>
  <c r="B42" i="1"/>
  <c r="F40" i="1"/>
  <c r="B38" i="1"/>
  <c r="F36" i="1"/>
  <c r="B34" i="1"/>
  <c r="F32" i="1"/>
  <c r="B30" i="1"/>
  <c r="F28" i="1"/>
  <c r="B26" i="1"/>
  <c r="F24" i="1"/>
  <c r="B153" i="1"/>
  <c r="B132" i="1"/>
  <c r="F130" i="1"/>
  <c r="B128" i="1"/>
  <c r="B115" i="1"/>
  <c r="F113" i="1"/>
  <c r="F109" i="1"/>
  <c r="B107" i="1"/>
  <c r="F105" i="1"/>
  <c r="B49" i="1"/>
  <c r="F35" i="1"/>
  <c r="B33" i="1"/>
  <c r="F31" i="1"/>
  <c r="B29" i="1"/>
  <c r="B1141" i="1"/>
  <c r="F850" i="1"/>
  <c r="F833" i="1"/>
  <c r="F825" i="1"/>
  <c r="B781" i="1"/>
  <c r="B773" i="1"/>
  <c r="F739" i="1"/>
  <c r="F731" i="1"/>
  <c r="F723" i="1"/>
  <c r="F598" i="1"/>
  <c r="B596" i="1"/>
  <c r="F590" i="1"/>
  <c r="B588" i="1"/>
  <c r="B571" i="1"/>
  <c r="F565" i="1"/>
  <c r="B563" i="1"/>
  <c r="F527" i="1"/>
  <c r="B525" i="1"/>
  <c r="F471" i="1"/>
  <c r="F449" i="1"/>
  <c r="B447" i="1"/>
  <c r="B391" i="1"/>
  <c r="F363" i="1"/>
  <c r="B361" i="1"/>
  <c r="F355" i="1"/>
  <c r="B353" i="1"/>
  <c r="F347" i="1"/>
  <c r="B345" i="1"/>
  <c r="F278" i="1"/>
  <c r="F274" i="1"/>
  <c r="B270" i="1"/>
  <c r="B246" i="1"/>
  <c r="F242" i="1"/>
  <c r="B241" i="1"/>
  <c r="F239" i="1"/>
  <c r="B238" i="1"/>
  <c r="F234" i="1"/>
  <c r="B233" i="1"/>
  <c r="F231" i="1"/>
  <c r="B230" i="1"/>
  <c r="F226" i="1"/>
  <c r="B225" i="1"/>
  <c r="F223" i="1"/>
  <c r="B222" i="1"/>
  <c r="F211" i="1"/>
  <c r="B198" i="1"/>
  <c r="F194" i="1"/>
  <c r="B192" i="1"/>
  <c r="F190" i="1"/>
  <c r="B188" i="1"/>
  <c r="F186" i="1"/>
  <c r="B184" i="1"/>
  <c r="F182" i="1"/>
  <c r="B171" i="1"/>
  <c r="F169" i="1"/>
  <c r="B167" i="1"/>
  <c r="F165" i="1"/>
  <c r="B163" i="1"/>
  <c r="F161" i="1"/>
  <c r="B159" i="1"/>
  <c r="F157" i="1"/>
  <c r="B155" i="1"/>
  <c r="F153" i="1"/>
  <c r="B151" i="1"/>
  <c r="F149" i="1"/>
  <c r="B138" i="1"/>
  <c r="F136" i="1"/>
  <c r="B134" i="1"/>
  <c r="F132" i="1"/>
  <c r="B130" i="1"/>
  <c r="F128" i="1"/>
  <c r="F115" i="1"/>
  <c r="B113" i="1"/>
  <c r="F111" i="1"/>
  <c r="B109" i="1"/>
  <c r="F107" i="1"/>
  <c r="B105" i="1"/>
  <c r="F103" i="1"/>
  <c r="B101" i="1"/>
  <c r="F99" i="1"/>
  <c r="B97" i="1"/>
  <c r="F95" i="1"/>
  <c r="B93" i="1"/>
  <c r="F91" i="1"/>
  <c r="B89" i="1"/>
  <c r="F78" i="1"/>
  <c r="B76" i="1"/>
  <c r="F74" i="1"/>
  <c r="B63" i="1"/>
  <c r="F61" i="1"/>
  <c r="B59" i="1"/>
  <c r="F57" i="1"/>
  <c r="B55" i="1"/>
  <c r="F53" i="1"/>
  <c r="B51" i="1"/>
  <c r="F49" i="1"/>
  <c r="B47" i="1"/>
  <c r="F45" i="1"/>
  <c r="B43" i="1"/>
  <c r="F41" i="1"/>
  <c r="B39" i="1"/>
  <c r="F37" i="1"/>
  <c r="B35" i="1"/>
  <c r="F33" i="1"/>
  <c r="B31" i="1"/>
  <c r="F29" i="1"/>
  <c r="B27" i="1"/>
  <c r="F25" i="1"/>
  <c r="B23" i="1"/>
  <c r="F171" i="1"/>
  <c r="B161" i="1"/>
  <c r="F159" i="1"/>
  <c r="F138" i="1"/>
  <c r="B136" i="1"/>
  <c r="F134" i="1"/>
  <c r="B111" i="1"/>
  <c r="B103" i="1"/>
  <c r="F101" i="1"/>
  <c r="B99" i="1"/>
  <c r="F97" i="1"/>
  <c r="B95" i="1"/>
  <c r="F93" i="1"/>
  <c r="F89" i="1"/>
  <c r="B57" i="1"/>
  <c r="B53" i="1"/>
  <c r="F39" i="1"/>
  <c r="F27" i="1"/>
  <c r="F852" i="1"/>
  <c r="F827" i="1"/>
  <c r="B783" i="1"/>
  <c r="B775" i="1"/>
  <c r="F741" i="1"/>
  <c r="F733" i="1"/>
  <c r="F725" i="1"/>
  <c r="F708" i="1"/>
  <c r="B658" i="1"/>
  <c r="F654" i="1"/>
  <c r="B642" i="1"/>
  <c r="B625" i="1"/>
  <c r="F619" i="1"/>
  <c r="B617" i="1"/>
  <c r="F611" i="1"/>
  <c r="F548" i="1"/>
  <c r="B546" i="1"/>
  <c r="B499" i="1"/>
  <c r="B482" i="1"/>
  <c r="B460" i="1"/>
  <c r="F282" i="1"/>
  <c r="B280" i="1"/>
  <c r="B276" i="1"/>
  <c r="F272" i="1"/>
  <c r="B271" i="1"/>
  <c r="F269" i="1"/>
  <c r="B268" i="1"/>
  <c r="F257" i="1"/>
  <c r="B244" i="1"/>
  <c r="F240" i="1"/>
  <c r="B236" i="1"/>
  <c r="F232" i="1"/>
  <c r="B228" i="1"/>
  <c r="F224" i="1"/>
  <c r="F200" i="1"/>
  <c r="B199" i="1"/>
  <c r="F197" i="1"/>
  <c r="B196" i="1"/>
  <c r="B193" i="1"/>
  <c r="F191" i="1"/>
  <c r="B189" i="1"/>
  <c r="F187" i="1"/>
  <c r="B185" i="1"/>
  <c r="F183" i="1"/>
  <c r="F170" i="1"/>
  <c r="B168" i="1"/>
  <c r="F166" i="1"/>
  <c r="B164" i="1"/>
  <c r="F162" i="1"/>
  <c r="B160" i="1"/>
  <c r="F158" i="1"/>
  <c r="B156" i="1"/>
  <c r="F154" i="1"/>
  <c r="B152" i="1"/>
  <c r="F150" i="1"/>
  <c r="F137" i="1"/>
  <c r="B135" i="1"/>
  <c r="F133" i="1"/>
  <c r="B131" i="1"/>
  <c r="F129" i="1"/>
  <c r="B127" i="1"/>
  <c r="F116" i="1"/>
  <c r="B114" i="1"/>
  <c r="F112" i="1"/>
  <c r="B110" i="1"/>
  <c r="F108" i="1"/>
  <c r="B106" i="1"/>
  <c r="F104" i="1"/>
  <c r="B102" i="1"/>
  <c r="F100" i="1"/>
  <c r="B98" i="1"/>
  <c r="F96" i="1"/>
  <c r="B94" i="1"/>
  <c r="F92" i="1"/>
  <c r="B90" i="1"/>
  <c r="B77" i="1"/>
  <c r="F75" i="1"/>
  <c r="F62" i="1"/>
  <c r="B60" i="1"/>
  <c r="F58" i="1"/>
  <c r="B56" i="1"/>
  <c r="F54" i="1"/>
  <c r="B52" i="1"/>
  <c r="F50" i="1"/>
  <c r="B48" i="1"/>
  <c r="F46" i="1"/>
  <c r="B44" i="1"/>
  <c r="F42" i="1"/>
  <c r="B40" i="1"/>
  <c r="F38" i="1"/>
  <c r="B36" i="1"/>
  <c r="F34" i="1"/>
  <c r="B32" i="1"/>
  <c r="F30" i="1"/>
  <c r="B28" i="1"/>
  <c r="F26" i="1"/>
  <c r="B24" i="1"/>
  <c r="F561" i="1"/>
  <c r="F445" i="1"/>
  <c r="B443" i="1"/>
  <c r="F367" i="1"/>
  <c r="B365" i="1"/>
  <c r="F351" i="1"/>
  <c r="B349" i="1"/>
  <c r="F277" i="1"/>
  <c r="F270" i="1"/>
  <c r="B237" i="1"/>
  <c r="F230" i="1"/>
  <c r="F227" i="1"/>
  <c r="F222" i="1"/>
  <c r="F198" i="1"/>
  <c r="B194" i="1"/>
  <c r="F192" i="1"/>
  <c r="B186" i="1"/>
  <c r="F184" i="1"/>
  <c r="F163" i="1"/>
  <c r="B157" i="1"/>
  <c r="F155" i="1"/>
  <c r="F151" i="1"/>
  <c r="B149" i="1"/>
  <c r="B91" i="1"/>
  <c r="B78" i="1"/>
  <c r="F76" i="1"/>
  <c r="B74" i="1"/>
  <c r="F63" i="1"/>
  <c r="B61" i="1"/>
  <c r="F59" i="1"/>
  <c r="F55" i="1"/>
  <c r="B45" i="1"/>
  <c r="B41" i="1"/>
  <c r="B37" i="1"/>
  <c r="F23" i="1"/>
  <c r="F854" i="1"/>
  <c r="F846" i="1"/>
  <c r="F829" i="1"/>
  <c r="B785" i="1"/>
  <c r="B777" i="1"/>
  <c r="F743" i="1"/>
  <c r="F735" i="1"/>
  <c r="F727" i="1"/>
  <c r="F710" i="1"/>
  <c r="F693" i="1"/>
  <c r="B600" i="1"/>
  <c r="F594" i="1"/>
  <c r="B592" i="1"/>
  <c r="F586" i="1"/>
  <c r="B584" i="1"/>
  <c r="F569" i="1"/>
  <c r="B567" i="1"/>
  <c r="F531" i="1"/>
  <c r="B529" i="1"/>
  <c r="F523" i="1"/>
  <c r="F406" i="1"/>
  <c r="B404" i="1"/>
  <c r="F359" i="1"/>
  <c r="B357" i="1"/>
  <c r="F343" i="1"/>
  <c r="B274" i="1"/>
  <c r="F246" i="1"/>
  <c r="B245" i="1"/>
  <c r="F243" i="1"/>
  <c r="B242" i="1"/>
  <c r="F238" i="1"/>
  <c r="F235" i="1"/>
  <c r="B234" i="1"/>
  <c r="B229" i="1"/>
  <c r="B226" i="1"/>
  <c r="B211" i="1"/>
  <c r="B190" i="1"/>
  <c r="F188" i="1"/>
  <c r="B182" i="1"/>
  <c r="B169" i="1"/>
  <c r="F167" i="1"/>
  <c r="B165" i="1"/>
  <c r="F51" i="1"/>
  <c r="F47" i="1"/>
  <c r="F43" i="1"/>
  <c r="B25" i="1"/>
  <c r="F697" i="1" l="1"/>
  <c r="F64" i="1"/>
  <c r="F247" i="1"/>
  <c r="F258" i="1"/>
  <c r="F627" i="1"/>
  <c r="F117" i="1"/>
  <c r="F79" i="1"/>
  <c r="F172" i="1"/>
  <c r="F201" i="1"/>
  <c r="F212" i="1"/>
  <c r="F472" i="1"/>
  <c r="F835" i="1"/>
  <c r="F139" i="1"/>
  <c r="F288" i="1"/>
  <c r="F899" i="1"/>
  <c r="F299" i="1"/>
  <c r="F321" i="1"/>
  <c r="F369" i="1"/>
  <c r="F381" i="1"/>
  <c r="F421" i="1"/>
  <c r="F432" i="1"/>
  <c r="F533" i="1"/>
  <c r="F550" i="1"/>
  <c r="F573" i="1"/>
  <c r="F763" i="1"/>
  <c r="F393" i="1"/>
  <c r="F461" i="1"/>
  <c r="F484" i="1"/>
  <c r="F786" i="1"/>
  <c r="F310" i="1"/>
  <c r="F332" i="1"/>
  <c r="F408" i="1"/>
  <c r="F450" i="1"/>
  <c r="F501" i="1"/>
  <c r="F512" i="1"/>
  <c r="F601" i="1"/>
  <c r="F683" i="1"/>
  <c r="F815" i="1"/>
  <c r="F744" i="1"/>
  <c r="F884" i="1"/>
  <c r="F1319" i="1"/>
  <c r="F919" i="1"/>
  <c r="F1028" i="1"/>
  <c r="F712" i="1"/>
  <c r="F862" i="1"/>
  <c r="F990" i="1"/>
  <c r="F1120" i="1"/>
  <c r="F1259" i="1"/>
  <c r="F1304" i="1"/>
  <c r="F1003" i="1"/>
  <c r="F1014" i="1"/>
  <c r="F1054" i="1"/>
  <c r="F1156" i="1"/>
  <c r="F1283" i="1"/>
  <c r="F979" i="1"/>
  <c r="F1042" i="1"/>
  <c r="F1105" i="1"/>
  <c r="F1218" i="1"/>
  <c r="F1178" i="1"/>
  <c r="F1229" i="1"/>
  <c r="F1361" i="1"/>
  <c r="F1499" i="1"/>
  <c r="F1411" i="1"/>
  <c r="F1514" i="1"/>
  <c r="F1376" i="1"/>
  <c r="F1432" i="1"/>
  <c r="F1472"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434965BB-C9BE-47EA-BCB4-8D8A6F444749}">
      <text>
        <r>
          <rPr>
            <b/>
            <sz val="9"/>
            <rFont val="Tahoma"/>
            <family val="2"/>
          </rPr>
          <t>Introduzca el año del PACC</t>
        </r>
      </text>
    </comment>
    <comment ref="E12" authorId="0" shapeId="0" xr:uid="{40254D1A-8EAF-4351-BC70-74647BBB1B9B}">
      <text>
        <r>
          <rPr>
            <b/>
            <sz val="9"/>
            <rFont val="Tahoma"/>
            <family val="2"/>
          </rPr>
          <t>Introduzca la fecha de aprobación, en formato dd/mm/aaaa</t>
        </r>
      </text>
    </comment>
    <comment ref="A16" authorId="1" shapeId="0" xr:uid="{B73D0D70-75DC-4BE9-9EDF-92666C24D450}">
      <text>
        <r>
          <rPr>
            <sz val="11"/>
            <color theme="1"/>
            <rFont val="Calibri"/>
            <family val="2"/>
            <scheme val="minor"/>
          </rPr>
          <t>Introducir un texto con el nombre o referencia de la contratación</t>
        </r>
      </text>
    </comment>
    <comment ref="B16" authorId="1" shapeId="0" xr:uid="{28FD1566-79EF-408E-BD97-DE2CAEB393C9}">
      <text>
        <r>
          <rPr>
            <sz val="11"/>
            <color theme="1"/>
            <rFont val="Calibri"/>
            <family val="2"/>
            <scheme val="minor"/>
          </rPr>
          <t>Introduzca un texto con la finalidad de la contratación</t>
        </r>
      </text>
    </comment>
    <comment ref="C16" authorId="1" shapeId="0" xr:uid="{A9E2D5A4-4A37-4FC5-81DC-DE36FE37F1B7}">
      <text>
        <r>
          <rPr>
            <sz val="11"/>
            <color theme="1"/>
            <rFont val="Calibri"/>
            <family val="2"/>
            <scheme val="minor"/>
          </rPr>
          <t>Seleccionar un valor del listado</t>
        </r>
      </text>
    </comment>
    <comment ref="D16" authorId="1" shapeId="0" xr:uid="{28D3FAE8-1BF6-4737-AFAD-506259E3A740}">
      <text>
        <r>
          <rPr>
            <sz val="11"/>
            <color theme="1"/>
            <rFont val="Calibri"/>
            <family val="2"/>
            <scheme val="minor"/>
          </rPr>
          <t>Seleccione el tipo de procedimiento</t>
        </r>
      </text>
    </comment>
    <comment ref="E16" authorId="1" shapeId="0" xr:uid="{8408EF68-D353-4584-B01F-B806E49D2DE1}">
      <text>
        <r>
          <rPr>
            <sz val="11"/>
            <color theme="1"/>
            <rFont val="Calibri"/>
            <family val="2"/>
            <scheme val="minor"/>
          </rPr>
          <t>Seleccione un valor de la lista</t>
        </r>
      </text>
    </comment>
    <comment ref="F16" authorId="1" shapeId="0" xr:uid="{F82EC578-8552-49AA-B40D-88ACB6F7083C}">
      <text>
        <r>
          <rPr>
            <sz val="11"/>
            <color theme="1"/>
            <rFont val="Calibri"/>
            <family val="2"/>
            <scheme val="minor"/>
          </rPr>
          <t>Introduzca el código SNIP</t>
        </r>
      </text>
    </comment>
    <comment ref="C17" authorId="1" shapeId="0" xr:uid="{3F42E130-901F-4DE9-BE51-2D97310A82C1}">
      <text>
        <r>
          <rPr>
            <sz val="11"/>
            <color theme="1"/>
            <rFont val="Calibri"/>
            <family val="2"/>
            <scheme val="minor"/>
          </rPr>
          <t>Introduzca la fecha de inicio del proceso, en formato dd-mm-aaaa</t>
        </r>
      </text>
    </comment>
    <comment ref="F17" authorId="1" shapeId="0" xr:uid="{08EB01C1-4196-4802-B29E-5D5C8430F9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E1501E31-EDBA-4B36-A1BF-C2E697564B33}">
      <text/>
    </comment>
    <comment ref="C19" authorId="1" shapeId="0" xr:uid="{96FDB464-FE61-4458-B48B-7B57DCBFE91A}">
      <text>
        <r>
          <rPr>
            <sz val="11"/>
            <color theme="1"/>
            <rFont val="Calibri"/>
            <family val="2"/>
            <scheme val="minor"/>
          </rPr>
          <t>Introduzca la fecha prevista de adjudicación, en formato dd-mm-aaaa</t>
        </r>
      </text>
    </comment>
    <comment ref="F19" authorId="1" shapeId="0" xr:uid="{22B867F5-8D98-4C9D-B448-23BD6A18A7BA}">
      <text/>
    </comment>
    <comment ref="F20" authorId="1" shapeId="0" xr:uid="{8A46044B-EE0A-4DC2-BC16-921663AF2570}">
      <text/>
    </comment>
    <comment ref="A22" authorId="1" shapeId="0" xr:uid="{CAF2725A-2607-4889-BBF0-BA17E9DB9CE8}">
      <text>
        <r>
          <rPr>
            <sz val="11"/>
            <color theme="1"/>
            <rFont val="Calibri"/>
            <family val="2"/>
            <scheme val="minor"/>
          </rPr>
          <t>Introduzca un codigo UNSPSC</t>
        </r>
      </text>
    </comment>
    <comment ref="B22" authorId="1" shapeId="0" xr:uid="{64DE6D39-0446-4008-A7F0-78F259FD6636}">
      <text>
        <r>
          <rPr>
            <sz val="11"/>
            <color theme="1"/>
            <rFont val="Calibri"/>
            <family val="2"/>
            <scheme val="minor"/>
          </rPr>
          <t>Descripción calculada automáticamente a partir de código del artículo</t>
        </r>
      </text>
    </comment>
    <comment ref="C22" authorId="1" shapeId="0" xr:uid="{E03D2653-CB96-4308-B319-51C8F7B924D3}">
      <text>
        <r>
          <rPr>
            <sz val="11"/>
            <color theme="1"/>
            <rFont val="Calibri"/>
            <family val="2"/>
            <scheme val="minor"/>
          </rPr>
          <t>Seleccione un valor de la lista</t>
        </r>
      </text>
    </comment>
    <comment ref="D22" authorId="1" shapeId="0" xr:uid="{D5554F7F-950E-441A-919A-66A2161FDFFF}">
      <text>
        <r>
          <rPr>
            <sz val="11"/>
            <color theme="1"/>
            <rFont val="Calibri"/>
            <family val="2"/>
            <scheme val="minor"/>
          </rPr>
          <t>Introduzca un número con dos decimales como máximo. Debe ser igual o mayor a la "Cantidad Real Consumida"</t>
        </r>
      </text>
    </comment>
    <comment ref="E22" authorId="1" shapeId="0" xr:uid="{EFBB97B4-CBE2-47C0-81E5-4B70700FC7D5}">
      <text>
        <r>
          <rPr>
            <sz val="11"/>
            <color theme="1"/>
            <rFont val="Calibri"/>
            <family val="2"/>
            <scheme val="minor"/>
          </rPr>
          <t>Introduzca un número con dos decimales como máximo</t>
        </r>
      </text>
    </comment>
    <comment ref="F22" authorId="1" shapeId="0" xr:uid="{C4F2B23C-9C8E-478F-9314-FBD7F09C1E40}">
      <text>
        <r>
          <rPr>
            <sz val="11"/>
            <color theme="1"/>
            <rFont val="Calibri"/>
            <family val="2"/>
            <scheme val="minor"/>
          </rPr>
          <t>Monto calculado automáticamente por el sistema</t>
        </r>
      </text>
    </comment>
    <comment ref="A67" authorId="1" shapeId="0" xr:uid="{8C36BA1F-614E-4D51-A1D3-721E3EC7277D}">
      <text>
        <r>
          <rPr>
            <sz val="11"/>
            <color theme="1"/>
            <rFont val="Calibri"/>
            <family val="2"/>
            <scheme val="minor"/>
          </rPr>
          <t>Introducir un texto con el nombre o referencia de la contratación</t>
        </r>
      </text>
    </comment>
    <comment ref="B67" authorId="1" shapeId="0" xr:uid="{587096AD-F15D-4F0A-931A-244ED3EDC2C8}">
      <text>
        <r>
          <rPr>
            <sz val="11"/>
            <color theme="1"/>
            <rFont val="Calibri"/>
            <family val="2"/>
            <scheme val="minor"/>
          </rPr>
          <t>Introduzca un texto con la finalidad de la contratación</t>
        </r>
      </text>
    </comment>
    <comment ref="C67" authorId="1" shapeId="0" xr:uid="{98576BA8-73E8-431C-B08E-43CF10C27D36}">
      <text>
        <r>
          <rPr>
            <sz val="11"/>
            <color theme="1"/>
            <rFont val="Calibri"/>
            <family val="2"/>
            <scheme val="minor"/>
          </rPr>
          <t>Seleccionar un valor del listado</t>
        </r>
      </text>
    </comment>
    <comment ref="D67" authorId="1" shapeId="0" xr:uid="{F1634D61-1A1A-43FF-B551-0A89CF9B9B50}">
      <text>
        <r>
          <rPr>
            <sz val="11"/>
            <color theme="1"/>
            <rFont val="Calibri"/>
            <family val="2"/>
            <scheme val="minor"/>
          </rPr>
          <t>Seleccione el tipo de procedimiento</t>
        </r>
      </text>
    </comment>
    <comment ref="E67" authorId="1" shapeId="0" xr:uid="{C2711068-D59F-4A02-8BA5-EE716210A08E}">
      <text>
        <r>
          <rPr>
            <sz val="11"/>
            <color theme="1"/>
            <rFont val="Calibri"/>
            <family val="2"/>
            <scheme val="minor"/>
          </rPr>
          <t>Seleccione un valor de la lista</t>
        </r>
      </text>
    </comment>
    <comment ref="F67" authorId="1" shapeId="0" xr:uid="{335CE9CE-B295-4A3F-B646-F7831573BD78}">
      <text>
        <r>
          <rPr>
            <sz val="11"/>
            <color theme="1"/>
            <rFont val="Calibri"/>
            <family val="2"/>
            <scheme val="minor"/>
          </rPr>
          <t>Introduzca el código SNIP</t>
        </r>
      </text>
    </comment>
    <comment ref="C68" authorId="1" shapeId="0" xr:uid="{A76C1A5F-0B3D-4685-B49F-68DE8959F14D}">
      <text>
        <r>
          <rPr>
            <sz val="11"/>
            <color theme="1"/>
            <rFont val="Calibri"/>
            <family val="2"/>
            <scheme val="minor"/>
          </rPr>
          <t>Introduzca la fecha de inicio del proceso, en formato dd-mm-aaaa</t>
        </r>
      </text>
    </comment>
    <comment ref="F68" authorId="1" shapeId="0" xr:uid="{B74D20F2-6A2A-4D31-A669-CAD70C1839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 authorId="1" shapeId="0" xr:uid="{105C1DF0-23EF-44CE-BEDC-5C0805AC5DC9}">
      <text/>
    </comment>
    <comment ref="C70" authorId="1" shapeId="0" xr:uid="{6F5F0186-2757-4E1A-BAC9-02D773DE81BE}">
      <text>
        <r>
          <rPr>
            <sz val="11"/>
            <color theme="1"/>
            <rFont val="Calibri"/>
            <family val="2"/>
            <scheme val="minor"/>
          </rPr>
          <t>Introduzca la fecha prevista de adjudicación, en formato dd-mm-aaaa</t>
        </r>
      </text>
    </comment>
    <comment ref="F70" authorId="1" shapeId="0" xr:uid="{FFA000C5-4263-4C12-8B12-D1296A12E06F}">
      <text/>
    </comment>
    <comment ref="F71" authorId="1" shapeId="0" xr:uid="{92FAB8E8-6A27-40AC-BDD1-434258E5CB43}">
      <text/>
    </comment>
    <comment ref="A73" authorId="1" shapeId="0" xr:uid="{4ECB2325-3A39-4234-B571-2A2C7A3B95C5}">
      <text>
        <r>
          <rPr>
            <sz val="11"/>
            <color theme="1"/>
            <rFont val="Calibri"/>
            <family val="2"/>
            <scheme val="minor"/>
          </rPr>
          <t>Introduzca un codigo UNSPSC</t>
        </r>
      </text>
    </comment>
    <comment ref="B73" authorId="1" shapeId="0" xr:uid="{16E62059-1A80-4F0E-A7AE-2FFDBA580F30}">
      <text>
        <r>
          <rPr>
            <sz val="11"/>
            <color theme="1"/>
            <rFont val="Calibri"/>
            <family val="2"/>
            <scheme val="minor"/>
          </rPr>
          <t>Descripción calculada automáticamente a partir de código del artículo</t>
        </r>
      </text>
    </comment>
    <comment ref="C73" authorId="1" shapeId="0" xr:uid="{6422EB4B-92A6-4371-A0E0-72CD6BB16A05}">
      <text>
        <r>
          <rPr>
            <sz val="11"/>
            <color theme="1"/>
            <rFont val="Calibri"/>
            <family val="2"/>
            <scheme val="minor"/>
          </rPr>
          <t>Seleccione un valor de la lista</t>
        </r>
      </text>
    </comment>
    <comment ref="D73" authorId="1" shapeId="0" xr:uid="{B11DCB76-699C-4C72-BB90-9711104BC33F}">
      <text>
        <r>
          <rPr>
            <sz val="11"/>
            <color theme="1"/>
            <rFont val="Calibri"/>
            <family val="2"/>
            <scheme val="minor"/>
          </rPr>
          <t>Introduzca un número con dos decimales como máximo. Debe ser igual o mayor a la "Cantidad Real Consumida"</t>
        </r>
      </text>
    </comment>
    <comment ref="E73" authorId="1" shapeId="0" xr:uid="{D96A68C8-7617-421F-96F8-996644CA7AFE}">
      <text>
        <r>
          <rPr>
            <sz val="11"/>
            <color theme="1"/>
            <rFont val="Calibri"/>
            <family val="2"/>
            <scheme val="minor"/>
          </rPr>
          <t>Introduzca un número con dos decimales como máximo</t>
        </r>
      </text>
    </comment>
    <comment ref="F73" authorId="1" shapeId="0" xr:uid="{0C9515F2-B167-471E-8B4C-E0E07A505186}">
      <text>
        <r>
          <rPr>
            <sz val="11"/>
            <color theme="1"/>
            <rFont val="Calibri"/>
            <family val="2"/>
            <scheme val="minor"/>
          </rPr>
          <t>Monto calculado automáticamente por el sistema</t>
        </r>
      </text>
    </comment>
    <comment ref="A82" authorId="1" shapeId="0" xr:uid="{19940CA9-64FB-4BD4-B279-014EC6B932E3}">
      <text>
        <r>
          <rPr>
            <sz val="11"/>
            <color theme="1"/>
            <rFont val="Calibri"/>
            <family val="2"/>
            <scheme val="minor"/>
          </rPr>
          <t>Introducir un texto con el nombre o referencia de la contratación</t>
        </r>
      </text>
    </comment>
    <comment ref="B82" authorId="1" shapeId="0" xr:uid="{1621A3E2-39C7-4C08-B497-9F40EEB52739}">
      <text>
        <r>
          <rPr>
            <sz val="11"/>
            <color theme="1"/>
            <rFont val="Calibri"/>
            <family val="2"/>
            <scheme val="minor"/>
          </rPr>
          <t>Introduzca un texto con la finalidad de la contratación</t>
        </r>
      </text>
    </comment>
    <comment ref="C82" authorId="1" shapeId="0" xr:uid="{A976624B-B5CE-4BEE-BFDE-9600269AD642}">
      <text>
        <r>
          <rPr>
            <sz val="11"/>
            <color theme="1"/>
            <rFont val="Calibri"/>
            <family val="2"/>
            <scheme val="minor"/>
          </rPr>
          <t>Seleccionar un valor del listado</t>
        </r>
      </text>
    </comment>
    <comment ref="D82" authorId="1" shapeId="0" xr:uid="{FABAA009-68C4-4260-B023-935E5450DDCD}">
      <text>
        <r>
          <rPr>
            <sz val="11"/>
            <color theme="1"/>
            <rFont val="Calibri"/>
            <family val="2"/>
            <scheme val="minor"/>
          </rPr>
          <t>Seleccione el tipo de procedimiento</t>
        </r>
      </text>
    </comment>
    <comment ref="E82" authorId="1" shapeId="0" xr:uid="{1AAB010D-11DF-4263-89D2-630C68352186}">
      <text>
        <r>
          <rPr>
            <sz val="11"/>
            <color theme="1"/>
            <rFont val="Calibri"/>
            <family val="2"/>
            <scheme val="minor"/>
          </rPr>
          <t>Seleccione un valor de la lista</t>
        </r>
      </text>
    </comment>
    <comment ref="F82" authorId="1" shapeId="0" xr:uid="{7FC56B7D-21FE-4460-9C4B-318710CB6DFF}">
      <text>
        <r>
          <rPr>
            <sz val="11"/>
            <color theme="1"/>
            <rFont val="Calibri"/>
            <family val="2"/>
            <scheme val="minor"/>
          </rPr>
          <t>Introduzca el código SNIP</t>
        </r>
      </text>
    </comment>
    <comment ref="C83" authorId="1" shapeId="0" xr:uid="{EFFA619A-E9FB-4D77-BA4D-F6E592D5B56B}">
      <text>
        <r>
          <rPr>
            <sz val="11"/>
            <color theme="1"/>
            <rFont val="Calibri"/>
            <family val="2"/>
            <scheme val="minor"/>
          </rPr>
          <t>Introduzca la fecha de inicio del proceso, en formato dd-mm-aaaa</t>
        </r>
      </text>
    </comment>
    <comment ref="F83" authorId="1" shapeId="0" xr:uid="{3DA1B86D-4244-4E80-A981-69E0F840F3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24712468-07C7-46E2-9710-0EB93C242CCD}">
      <text/>
    </comment>
    <comment ref="C85" authorId="1" shapeId="0" xr:uid="{0E0F4635-0620-4781-8FCB-23EE65F9F1E2}">
      <text>
        <r>
          <rPr>
            <sz val="11"/>
            <color theme="1"/>
            <rFont val="Calibri"/>
            <family val="2"/>
            <scheme val="minor"/>
          </rPr>
          <t>Introduzca la fecha prevista de adjudicación, en formato dd-mm-aaaa</t>
        </r>
      </text>
    </comment>
    <comment ref="F85" authorId="1" shapeId="0" xr:uid="{FC81A6B9-F067-440D-B630-15B0F3B469E4}">
      <text/>
    </comment>
    <comment ref="F86" authorId="1" shapeId="0" xr:uid="{EB829E3B-B93E-4F47-B354-4F165A77070E}">
      <text/>
    </comment>
    <comment ref="A88" authorId="1" shapeId="0" xr:uid="{25760546-7B68-4FD5-80CC-C1207E1143C9}">
      <text>
        <r>
          <rPr>
            <sz val="11"/>
            <color theme="1"/>
            <rFont val="Calibri"/>
            <family val="2"/>
            <scheme val="minor"/>
          </rPr>
          <t>Introduzca un codigo UNSPSC</t>
        </r>
      </text>
    </comment>
    <comment ref="B88" authorId="1" shapeId="0" xr:uid="{F3CEE64E-6AF6-486C-A912-CC50BAA4E4C9}">
      <text>
        <r>
          <rPr>
            <sz val="11"/>
            <color theme="1"/>
            <rFont val="Calibri"/>
            <family val="2"/>
            <scheme val="minor"/>
          </rPr>
          <t>Descripción calculada automáticamente a partir de código del artículo</t>
        </r>
      </text>
    </comment>
    <comment ref="C88" authorId="1" shapeId="0" xr:uid="{4396E92A-A218-4584-A585-EE83749F50CE}">
      <text>
        <r>
          <rPr>
            <sz val="11"/>
            <color theme="1"/>
            <rFont val="Calibri"/>
            <family val="2"/>
            <scheme val="minor"/>
          </rPr>
          <t>Seleccione un valor de la lista</t>
        </r>
      </text>
    </comment>
    <comment ref="D88" authorId="1" shapeId="0" xr:uid="{F11FF0D5-7AA4-4AB8-B02B-83480559B723}">
      <text>
        <r>
          <rPr>
            <sz val="11"/>
            <color theme="1"/>
            <rFont val="Calibri"/>
            <family val="2"/>
            <scheme val="minor"/>
          </rPr>
          <t>Introduzca un número con dos decimales como máximo. Debe ser igual o mayor a la "Cantidad Real Consumida"</t>
        </r>
      </text>
    </comment>
    <comment ref="E88" authorId="1" shapeId="0" xr:uid="{31812F72-6921-4EF6-9BB5-E540CCFE959D}">
      <text>
        <r>
          <rPr>
            <sz val="11"/>
            <color theme="1"/>
            <rFont val="Calibri"/>
            <family val="2"/>
            <scheme val="minor"/>
          </rPr>
          <t>Introduzca un número con dos decimales como máximo</t>
        </r>
      </text>
    </comment>
    <comment ref="F88" authorId="1" shapeId="0" xr:uid="{A5021F28-3779-454C-B5E8-CB1E88A89527}">
      <text>
        <r>
          <rPr>
            <sz val="11"/>
            <color theme="1"/>
            <rFont val="Calibri"/>
            <family val="2"/>
            <scheme val="minor"/>
          </rPr>
          <t>Monto calculado automáticamente por el sistema</t>
        </r>
      </text>
    </comment>
    <comment ref="A120" authorId="1" shapeId="0" xr:uid="{EE26895B-D564-44FE-877D-D1A0A20AB781}">
      <text>
        <r>
          <rPr>
            <sz val="11"/>
            <color theme="1"/>
            <rFont val="Calibri"/>
            <family val="2"/>
            <scheme val="minor"/>
          </rPr>
          <t>Introducir un texto con el nombre o referencia de la contratación</t>
        </r>
      </text>
    </comment>
    <comment ref="B120" authorId="1" shapeId="0" xr:uid="{970E07E5-37E3-4A86-85B3-696E5DD0CECC}">
      <text>
        <r>
          <rPr>
            <sz val="11"/>
            <color theme="1"/>
            <rFont val="Calibri"/>
            <family val="2"/>
            <scheme val="minor"/>
          </rPr>
          <t>Introduzca un texto con la finalidad de la contratación</t>
        </r>
      </text>
    </comment>
    <comment ref="C120" authorId="1" shapeId="0" xr:uid="{01530874-A855-445C-BAED-57A9FA38171C}">
      <text>
        <r>
          <rPr>
            <sz val="11"/>
            <color theme="1"/>
            <rFont val="Calibri"/>
            <family val="2"/>
            <scheme val="minor"/>
          </rPr>
          <t>Seleccionar un valor del listado</t>
        </r>
      </text>
    </comment>
    <comment ref="D120" authorId="1" shapeId="0" xr:uid="{CF517690-8A9C-4C46-901B-9F7803C997AC}">
      <text>
        <r>
          <rPr>
            <sz val="11"/>
            <color theme="1"/>
            <rFont val="Calibri"/>
            <family val="2"/>
            <scheme val="minor"/>
          </rPr>
          <t>Seleccione el tipo de procedimiento</t>
        </r>
      </text>
    </comment>
    <comment ref="E120" authorId="1" shapeId="0" xr:uid="{C8BCC94B-BA7B-4EC4-B26E-87CF61DDF26B}">
      <text>
        <r>
          <rPr>
            <sz val="11"/>
            <color theme="1"/>
            <rFont val="Calibri"/>
            <family val="2"/>
            <scheme val="minor"/>
          </rPr>
          <t>Seleccione un valor de la lista</t>
        </r>
      </text>
    </comment>
    <comment ref="F120" authorId="1" shapeId="0" xr:uid="{7BEF7C7E-DB8D-4504-9709-A576C8919A88}">
      <text>
        <r>
          <rPr>
            <sz val="11"/>
            <color theme="1"/>
            <rFont val="Calibri"/>
            <family val="2"/>
            <scheme val="minor"/>
          </rPr>
          <t>Introduzca el código SNIP</t>
        </r>
      </text>
    </comment>
    <comment ref="C121" authorId="1" shapeId="0" xr:uid="{BD987C94-C657-4F95-92D1-8FA8735CC448}">
      <text>
        <r>
          <rPr>
            <sz val="11"/>
            <color theme="1"/>
            <rFont val="Calibri"/>
            <family val="2"/>
            <scheme val="minor"/>
          </rPr>
          <t>Introduzca la fecha de inicio del proceso, en formato dd-mm-aaaa</t>
        </r>
      </text>
    </comment>
    <comment ref="F121" authorId="1" shapeId="0" xr:uid="{FA24C446-26F8-434D-BE2D-15F7E0BD48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xr:uid="{3FA94545-08FA-4FE1-8197-A8678FD9A8A5}">
      <text/>
    </comment>
    <comment ref="C123" authorId="1" shapeId="0" xr:uid="{838F10F1-BE15-45F7-95C0-E2F952A84C4F}">
      <text>
        <r>
          <rPr>
            <sz val="11"/>
            <color theme="1"/>
            <rFont val="Calibri"/>
            <family val="2"/>
            <scheme val="minor"/>
          </rPr>
          <t>Introduzca la fecha prevista de adjudicación, en formato dd-mm-aaaa</t>
        </r>
      </text>
    </comment>
    <comment ref="F123" authorId="1" shapeId="0" xr:uid="{A17E6A4A-E323-4ED2-8B07-9E513E8995BF}">
      <text/>
    </comment>
    <comment ref="F124" authorId="1" shapeId="0" xr:uid="{7DC8EE70-0493-471B-9D3C-ECEEA19357C1}">
      <text/>
    </comment>
    <comment ref="A126" authorId="1" shapeId="0" xr:uid="{B562BC93-149B-4709-B872-3BD537F1D6BC}">
      <text>
        <r>
          <rPr>
            <sz val="11"/>
            <color theme="1"/>
            <rFont val="Calibri"/>
            <family val="2"/>
            <scheme val="minor"/>
          </rPr>
          <t>Introduzca un codigo UNSPSC</t>
        </r>
      </text>
    </comment>
    <comment ref="B126" authorId="1" shapeId="0" xr:uid="{FF2BB2E7-2891-4E0A-A9A3-A2395BB21BC4}">
      <text>
        <r>
          <rPr>
            <sz val="11"/>
            <color theme="1"/>
            <rFont val="Calibri"/>
            <family val="2"/>
            <scheme val="minor"/>
          </rPr>
          <t>Descripción calculada automáticamente a partir de código del artículo</t>
        </r>
      </text>
    </comment>
    <comment ref="C126" authorId="1" shapeId="0" xr:uid="{F12022BA-8A66-45C9-8345-3F3662406602}">
      <text>
        <r>
          <rPr>
            <sz val="11"/>
            <color theme="1"/>
            <rFont val="Calibri"/>
            <family val="2"/>
            <scheme val="minor"/>
          </rPr>
          <t>Seleccione un valor de la lista</t>
        </r>
      </text>
    </comment>
    <comment ref="D126" authorId="1" shapeId="0" xr:uid="{9EEE0179-FB36-4118-A803-A3987655A19C}">
      <text>
        <r>
          <rPr>
            <sz val="11"/>
            <color theme="1"/>
            <rFont val="Calibri"/>
            <family val="2"/>
            <scheme val="minor"/>
          </rPr>
          <t>Introduzca un número con dos decimales como máximo. Debe ser igual o mayor a la "Cantidad Real Consumida"</t>
        </r>
      </text>
    </comment>
    <comment ref="E126" authorId="1" shapeId="0" xr:uid="{534478EC-C669-488B-BC89-45E2F8617129}">
      <text>
        <r>
          <rPr>
            <sz val="11"/>
            <color theme="1"/>
            <rFont val="Calibri"/>
            <family val="2"/>
            <scheme val="minor"/>
          </rPr>
          <t>Introduzca un número con dos decimales como máximo</t>
        </r>
      </text>
    </comment>
    <comment ref="F126" authorId="1" shapeId="0" xr:uid="{C1C01BD9-DF10-478D-B04B-2190D069C994}">
      <text>
        <r>
          <rPr>
            <sz val="11"/>
            <color theme="1"/>
            <rFont val="Calibri"/>
            <family val="2"/>
            <scheme val="minor"/>
          </rPr>
          <t>Monto calculado automáticamente por el sistema</t>
        </r>
      </text>
    </comment>
    <comment ref="A142" authorId="1" shapeId="0" xr:uid="{C814CC12-7159-40C6-B337-406CD4923C9D}">
      <text>
        <r>
          <rPr>
            <sz val="11"/>
            <color theme="1"/>
            <rFont val="Calibri"/>
            <family val="2"/>
            <scheme val="minor"/>
          </rPr>
          <t>Introducir un texto con el nombre o referencia de la contratación</t>
        </r>
      </text>
    </comment>
    <comment ref="B142" authorId="1" shapeId="0" xr:uid="{A5F09F65-7650-4A12-A790-368994D00DFB}">
      <text>
        <r>
          <rPr>
            <sz val="11"/>
            <color theme="1"/>
            <rFont val="Calibri"/>
            <family val="2"/>
            <scheme val="minor"/>
          </rPr>
          <t>Introduzca un texto con la finalidad de la contratación</t>
        </r>
      </text>
    </comment>
    <comment ref="C142" authorId="1" shapeId="0" xr:uid="{2BF5A97F-2157-437E-91A7-7BADE67A6CB0}">
      <text>
        <r>
          <rPr>
            <sz val="11"/>
            <color theme="1"/>
            <rFont val="Calibri"/>
            <family val="2"/>
            <scheme val="minor"/>
          </rPr>
          <t>Seleccionar un valor del listado</t>
        </r>
      </text>
    </comment>
    <comment ref="D142" authorId="1" shapeId="0" xr:uid="{5B478C31-7F6D-4771-A9DE-1B927A2EDBED}">
      <text>
        <r>
          <rPr>
            <sz val="11"/>
            <color theme="1"/>
            <rFont val="Calibri"/>
            <family val="2"/>
            <scheme val="minor"/>
          </rPr>
          <t>Seleccione el tipo de procedimiento</t>
        </r>
      </text>
    </comment>
    <comment ref="E142" authorId="1" shapeId="0" xr:uid="{E07139B6-B68A-4EE3-98CF-856B6C7C966F}">
      <text>
        <r>
          <rPr>
            <sz val="11"/>
            <color theme="1"/>
            <rFont val="Calibri"/>
            <family val="2"/>
            <scheme val="minor"/>
          </rPr>
          <t>Seleccione un valor de la lista</t>
        </r>
      </text>
    </comment>
    <comment ref="F142" authorId="1" shapeId="0" xr:uid="{60DAEB91-2A4B-4A02-9A5A-17896986754B}">
      <text>
        <r>
          <rPr>
            <sz val="11"/>
            <color theme="1"/>
            <rFont val="Calibri"/>
            <family val="2"/>
            <scheme val="minor"/>
          </rPr>
          <t>Introduzca el código SNIP</t>
        </r>
      </text>
    </comment>
    <comment ref="C143" authorId="1" shapeId="0" xr:uid="{9A89BE21-6C36-43E8-9564-74053AE98D0F}">
      <text>
        <r>
          <rPr>
            <sz val="11"/>
            <color theme="1"/>
            <rFont val="Calibri"/>
            <family val="2"/>
            <scheme val="minor"/>
          </rPr>
          <t>Introduzca la fecha de inicio del proceso, en formato dd-mm-aaaa</t>
        </r>
      </text>
    </comment>
    <comment ref="F143" authorId="1" shapeId="0" xr:uid="{2665B17C-D362-4B3C-A40F-C78B464FBCA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 authorId="1" shapeId="0" xr:uid="{D9CAF5DD-8ABD-41DF-A10A-5CD92625126C}">
      <text/>
    </comment>
    <comment ref="C145" authorId="1" shapeId="0" xr:uid="{803BB877-2A4D-44B7-9B89-38B9BDD7DDEA}">
      <text>
        <r>
          <rPr>
            <sz val="11"/>
            <color theme="1"/>
            <rFont val="Calibri"/>
            <family val="2"/>
            <scheme val="minor"/>
          </rPr>
          <t>Introduzca la fecha prevista de adjudicación, en formato dd-mm-aaaa</t>
        </r>
      </text>
    </comment>
    <comment ref="F145" authorId="1" shapeId="0" xr:uid="{8AD11C94-0A2A-46F9-9FA0-B6F3B773FA8D}">
      <text/>
    </comment>
    <comment ref="F146" authorId="1" shapeId="0" xr:uid="{19188127-A0DC-4583-B962-286882E91E65}">
      <text/>
    </comment>
    <comment ref="A148" authorId="1" shapeId="0" xr:uid="{616ECB8A-44B5-4573-A918-F916FF2305A3}">
      <text>
        <r>
          <rPr>
            <sz val="11"/>
            <color theme="1"/>
            <rFont val="Calibri"/>
            <family val="2"/>
            <scheme val="minor"/>
          </rPr>
          <t>Introduzca un codigo UNSPSC</t>
        </r>
      </text>
    </comment>
    <comment ref="B148" authorId="1" shapeId="0" xr:uid="{978FF337-D968-43CE-ABA4-2B054E9ACCA8}">
      <text>
        <r>
          <rPr>
            <sz val="11"/>
            <color theme="1"/>
            <rFont val="Calibri"/>
            <family val="2"/>
            <scheme val="minor"/>
          </rPr>
          <t>Descripción calculada automáticamente a partir de código del artículo</t>
        </r>
      </text>
    </comment>
    <comment ref="C148" authorId="1" shapeId="0" xr:uid="{F8B53251-D8C1-4596-BF6A-D09C5339DFAB}">
      <text>
        <r>
          <rPr>
            <sz val="11"/>
            <color theme="1"/>
            <rFont val="Calibri"/>
            <family val="2"/>
            <scheme val="minor"/>
          </rPr>
          <t>Seleccione un valor de la lista</t>
        </r>
      </text>
    </comment>
    <comment ref="D148" authorId="1" shapeId="0" xr:uid="{97124F33-6ED6-4B4B-B318-3877F0159430}">
      <text>
        <r>
          <rPr>
            <sz val="11"/>
            <color theme="1"/>
            <rFont val="Calibri"/>
            <family val="2"/>
            <scheme val="minor"/>
          </rPr>
          <t>Introduzca un número con dos decimales como máximo. Debe ser igual o mayor a la "Cantidad Real Consumida"</t>
        </r>
      </text>
    </comment>
    <comment ref="E148" authorId="1" shapeId="0" xr:uid="{232FF548-B080-451C-AF14-7236A266B831}">
      <text>
        <r>
          <rPr>
            <sz val="11"/>
            <color theme="1"/>
            <rFont val="Calibri"/>
            <family val="2"/>
            <scheme val="minor"/>
          </rPr>
          <t>Introduzca un número con dos decimales como máximo</t>
        </r>
      </text>
    </comment>
    <comment ref="F148" authorId="1" shapeId="0" xr:uid="{9D86B56F-D1F2-4216-99C9-94EBF53CE8A2}">
      <text>
        <r>
          <rPr>
            <sz val="11"/>
            <color theme="1"/>
            <rFont val="Calibri"/>
            <family val="2"/>
            <scheme val="minor"/>
          </rPr>
          <t>Monto calculado automáticamente por el sistema</t>
        </r>
      </text>
    </comment>
    <comment ref="A175" authorId="1" shapeId="0" xr:uid="{BB969489-5FB4-41AE-8E26-1E34C60F8AEC}">
      <text>
        <r>
          <rPr>
            <sz val="11"/>
            <color theme="1"/>
            <rFont val="Calibri"/>
            <family val="2"/>
            <scheme val="minor"/>
          </rPr>
          <t>Introducir un texto con el nombre o referencia de la contratación</t>
        </r>
      </text>
    </comment>
    <comment ref="B175" authorId="1" shapeId="0" xr:uid="{7D8A5767-FBB3-4E80-A4F1-83E8D437E646}">
      <text>
        <r>
          <rPr>
            <sz val="11"/>
            <color theme="1"/>
            <rFont val="Calibri"/>
            <family val="2"/>
            <scheme val="minor"/>
          </rPr>
          <t>Introduzca un texto con la finalidad de la contratación</t>
        </r>
      </text>
    </comment>
    <comment ref="C175" authorId="1" shapeId="0" xr:uid="{4B40B59D-E7FD-4DE3-80BE-5E03B67CF58C}">
      <text>
        <r>
          <rPr>
            <sz val="11"/>
            <color theme="1"/>
            <rFont val="Calibri"/>
            <family val="2"/>
            <scheme val="minor"/>
          </rPr>
          <t>Seleccionar un valor del listado</t>
        </r>
      </text>
    </comment>
    <comment ref="D175" authorId="1" shapeId="0" xr:uid="{6E7E89D3-12A9-4478-B72A-E171106EA0FC}">
      <text>
        <r>
          <rPr>
            <sz val="11"/>
            <color theme="1"/>
            <rFont val="Calibri"/>
            <family val="2"/>
            <scheme val="minor"/>
          </rPr>
          <t>Seleccione el tipo de procedimiento</t>
        </r>
      </text>
    </comment>
    <comment ref="E175" authorId="1" shapeId="0" xr:uid="{4F4D16E7-A0E8-4EBC-9505-A2028D3F4E7A}">
      <text>
        <r>
          <rPr>
            <sz val="11"/>
            <color theme="1"/>
            <rFont val="Calibri"/>
            <family val="2"/>
            <scheme val="minor"/>
          </rPr>
          <t>Seleccione un valor de la lista</t>
        </r>
      </text>
    </comment>
    <comment ref="F175" authorId="1" shapeId="0" xr:uid="{7FA729C0-240C-48AF-9CE5-8522B68EBF24}">
      <text>
        <r>
          <rPr>
            <sz val="11"/>
            <color theme="1"/>
            <rFont val="Calibri"/>
            <family val="2"/>
            <scheme val="minor"/>
          </rPr>
          <t>Introduzca el código SNIP</t>
        </r>
      </text>
    </comment>
    <comment ref="C176" authorId="1" shapeId="0" xr:uid="{EA0EE4E1-9ACB-4121-92A4-EAAF744B815D}">
      <text>
        <r>
          <rPr>
            <sz val="11"/>
            <color theme="1"/>
            <rFont val="Calibri"/>
            <family val="2"/>
            <scheme val="minor"/>
          </rPr>
          <t>Introduzca la fecha de inicio del proceso, en formato dd-mm-aaaa</t>
        </r>
      </text>
    </comment>
    <comment ref="F176" authorId="1" shapeId="0" xr:uid="{FB78B1C4-8F90-4AF5-83AC-31A229879A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1" shapeId="0" xr:uid="{00930351-0C3F-412A-8843-BE2B55A20DD8}">
      <text/>
    </comment>
    <comment ref="C178" authorId="1" shapeId="0" xr:uid="{9F7F095E-ABF9-4A56-9448-0E5DF173978E}">
      <text>
        <r>
          <rPr>
            <sz val="11"/>
            <color theme="1"/>
            <rFont val="Calibri"/>
            <family val="2"/>
            <scheme val="minor"/>
          </rPr>
          <t>Introduzca la fecha prevista de adjudicación, en formato dd-mm-aaaa</t>
        </r>
      </text>
    </comment>
    <comment ref="F178" authorId="1" shapeId="0" xr:uid="{1429E3C4-EA9A-40AA-9660-59B91904F877}">
      <text/>
    </comment>
    <comment ref="F179" authorId="1" shapeId="0" xr:uid="{D64F77AD-8E82-4A2A-9070-B108FF331739}">
      <text/>
    </comment>
    <comment ref="A181" authorId="1" shapeId="0" xr:uid="{B1BE996D-94B8-42F9-904D-788D0037E546}">
      <text>
        <r>
          <rPr>
            <sz val="11"/>
            <color theme="1"/>
            <rFont val="Calibri"/>
            <family val="2"/>
            <scheme val="minor"/>
          </rPr>
          <t>Introduzca un codigo UNSPSC</t>
        </r>
      </text>
    </comment>
    <comment ref="B181" authorId="1" shapeId="0" xr:uid="{9FA0F984-2449-4F12-8177-45B1B8C87CA3}">
      <text>
        <r>
          <rPr>
            <sz val="11"/>
            <color theme="1"/>
            <rFont val="Calibri"/>
            <family val="2"/>
            <scheme val="minor"/>
          </rPr>
          <t>Descripción calculada automáticamente a partir de código del artículo</t>
        </r>
      </text>
    </comment>
    <comment ref="C181" authorId="1" shapeId="0" xr:uid="{B2148EC9-7DAE-4948-AC4F-67F50887DC7D}">
      <text>
        <r>
          <rPr>
            <sz val="11"/>
            <color theme="1"/>
            <rFont val="Calibri"/>
            <family val="2"/>
            <scheme val="minor"/>
          </rPr>
          <t>Seleccione un valor de la lista</t>
        </r>
      </text>
    </comment>
    <comment ref="D181" authorId="1" shapeId="0" xr:uid="{A0ADC5AA-C975-4356-B710-29E267DBDFB8}">
      <text>
        <r>
          <rPr>
            <sz val="11"/>
            <color theme="1"/>
            <rFont val="Calibri"/>
            <family val="2"/>
            <scheme val="minor"/>
          </rPr>
          <t>Introduzca un número con dos decimales como máximo. Debe ser igual o mayor a la "Cantidad Real Consumida"</t>
        </r>
      </text>
    </comment>
    <comment ref="E181" authorId="1" shapeId="0" xr:uid="{914FECCF-E618-40CD-90D9-8349A57E767F}">
      <text>
        <r>
          <rPr>
            <sz val="11"/>
            <color theme="1"/>
            <rFont val="Calibri"/>
            <family val="2"/>
            <scheme val="minor"/>
          </rPr>
          <t>Introduzca un número con dos decimales como máximo</t>
        </r>
      </text>
    </comment>
    <comment ref="F181" authorId="1" shapeId="0" xr:uid="{AA468C69-ACC1-42FA-BC9A-5C2298CCA44A}">
      <text>
        <r>
          <rPr>
            <sz val="11"/>
            <color theme="1"/>
            <rFont val="Calibri"/>
            <family val="2"/>
            <scheme val="minor"/>
          </rPr>
          <t>Monto calculado automáticamente por el sistema</t>
        </r>
      </text>
    </comment>
    <comment ref="A204" authorId="1" shapeId="0" xr:uid="{278AD2AE-3E3E-45D4-803C-BD15A6A6ECB8}">
      <text>
        <r>
          <rPr>
            <sz val="11"/>
            <color theme="1"/>
            <rFont val="Calibri"/>
            <family val="2"/>
            <scheme val="minor"/>
          </rPr>
          <t>Introducir un texto con el nombre o referencia de la contratación</t>
        </r>
      </text>
    </comment>
    <comment ref="B204" authorId="1" shapeId="0" xr:uid="{9C8AEE3C-6F8C-4296-969B-47219B15FF38}">
      <text>
        <r>
          <rPr>
            <sz val="11"/>
            <color theme="1"/>
            <rFont val="Calibri"/>
            <family val="2"/>
            <scheme val="minor"/>
          </rPr>
          <t>Introduzca un texto con la finalidad de la contratación</t>
        </r>
      </text>
    </comment>
    <comment ref="C204" authorId="1" shapeId="0" xr:uid="{1A6BB1D5-1397-4144-ACD3-7195DC963A64}">
      <text>
        <r>
          <rPr>
            <sz val="11"/>
            <color theme="1"/>
            <rFont val="Calibri"/>
            <family val="2"/>
            <scheme val="minor"/>
          </rPr>
          <t>Seleccionar un valor del listado</t>
        </r>
      </text>
    </comment>
    <comment ref="D204" authorId="1" shapeId="0" xr:uid="{166B5C62-E05C-4E83-93FA-50A0A32F9FE2}">
      <text>
        <r>
          <rPr>
            <sz val="11"/>
            <color theme="1"/>
            <rFont val="Calibri"/>
            <family val="2"/>
            <scheme val="minor"/>
          </rPr>
          <t>Seleccione el tipo de procedimiento</t>
        </r>
      </text>
    </comment>
    <comment ref="E204" authorId="1" shapeId="0" xr:uid="{1146ED9D-03A0-4828-B2DA-9A721A4899E0}">
      <text>
        <r>
          <rPr>
            <sz val="11"/>
            <color theme="1"/>
            <rFont val="Calibri"/>
            <family val="2"/>
            <scheme val="minor"/>
          </rPr>
          <t>Seleccione un valor de la lista</t>
        </r>
      </text>
    </comment>
    <comment ref="F204" authorId="1" shapeId="0" xr:uid="{521BEEE7-A802-4A30-B1F7-9175478D7020}">
      <text>
        <r>
          <rPr>
            <sz val="11"/>
            <color theme="1"/>
            <rFont val="Calibri"/>
            <family val="2"/>
            <scheme val="minor"/>
          </rPr>
          <t>Introduzca el código SNIP</t>
        </r>
      </text>
    </comment>
    <comment ref="C205" authorId="1" shapeId="0" xr:uid="{13CED2D6-23DF-49EA-81C0-A3C23BEFF852}">
      <text>
        <r>
          <rPr>
            <sz val="11"/>
            <color theme="1"/>
            <rFont val="Calibri"/>
            <family val="2"/>
            <scheme val="minor"/>
          </rPr>
          <t>Introduzca la fecha de inicio del proceso, en formato dd-mm-aaaa</t>
        </r>
      </text>
    </comment>
    <comment ref="F205" authorId="1" shapeId="0" xr:uid="{856A71E6-2B96-4F99-8EAA-ECCEDEECBB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DFBCC518-2351-47C4-A876-AAA3E9B23660}">
      <text/>
    </comment>
    <comment ref="C207" authorId="1" shapeId="0" xr:uid="{0927698B-E0F9-4295-8AE4-803CAB082C53}">
      <text>
        <r>
          <rPr>
            <sz val="11"/>
            <color theme="1"/>
            <rFont val="Calibri"/>
            <family val="2"/>
            <scheme val="minor"/>
          </rPr>
          <t>Introduzca la fecha prevista de adjudicación, en formato dd-mm-aaaa</t>
        </r>
      </text>
    </comment>
    <comment ref="F207" authorId="1" shapeId="0" xr:uid="{88F25993-4298-4A70-84E9-0E8B29975AC4}">
      <text/>
    </comment>
    <comment ref="F208" authorId="1" shapeId="0" xr:uid="{F5289488-9156-4B30-8955-84B67E23EF85}">
      <text/>
    </comment>
    <comment ref="A210" authorId="1" shapeId="0" xr:uid="{D872AC74-FC7A-47BB-98A6-623988D650EF}">
      <text>
        <r>
          <rPr>
            <sz val="11"/>
            <color theme="1"/>
            <rFont val="Calibri"/>
            <family val="2"/>
            <scheme val="minor"/>
          </rPr>
          <t>Introduzca un codigo UNSPSC</t>
        </r>
      </text>
    </comment>
    <comment ref="B210" authorId="1" shapeId="0" xr:uid="{60F73287-7FDF-4C2F-8BC9-9F397BD7DDC5}">
      <text>
        <r>
          <rPr>
            <sz val="11"/>
            <color theme="1"/>
            <rFont val="Calibri"/>
            <family val="2"/>
            <scheme val="minor"/>
          </rPr>
          <t>Descripción calculada automáticamente a partir de código del artículo</t>
        </r>
      </text>
    </comment>
    <comment ref="C210" authorId="1" shapeId="0" xr:uid="{EE5CA974-54F4-476E-91E9-E4B502839838}">
      <text>
        <r>
          <rPr>
            <sz val="11"/>
            <color theme="1"/>
            <rFont val="Calibri"/>
            <family val="2"/>
            <scheme val="minor"/>
          </rPr>
          <t>Seleccione un valor de la lista</t>
        </r>
      </text>
    </comment>
    <comment ref="D210" authorId="1" shapeId="0" xr:uid="{B9407F76-1DF8-44AF-A0F4-0AA6C832F73F}">
      <text>
        <r>
          <rPr>
            <sz val="11"/>
            <color theme="1"/>
            <rFont val="Calibri"/>
            <family val="2"/>
            <scheme val="minor"/>
          </rPr>
          <t>Introduzca un número con dos decimales como máximo. Debe ser igual o mayor a la "Cantidad Real Consumida"</t>
        </r>
      </text>
    </comment>
    <comment ref="E210" authorId="1" shapeId="0" xr:uid="{EEC342BC-8C62-4FE6-9169-90ACB654098A}">
      <text>
        <r>
          <rPr>
            <sz val="11"/>
            <color theme="1"/>
            <rFont val="Calibri"/>
            <family val="2"/>
            <scheme val="minor"/>
          </rPr>
          <t>Introduzca un número con dos decimales como máximo</t>
        </r>
      </text>
    </comment>
    <comment ref="F210" authorId="1" shapeId="0" xr:uid="{114ADAE2-1C27-45FC-8929-8A7165C8D5D8}">
      <text>
        <r>
          <rPr>
            <sz val="11"/>
            <color theme="1"/>
            <rFont val="Calibri"/>
            <family val="2"/>
            <scheme val="minor"/>
          </rPr>
          <t>Monto calculado automáticamente por el sistema</t>
        </r>
      </text>
    </comment>
    <comment ref="A215" authorId="1" shapeId="0" xr:uid="{2740EE43-4BE3-457A-A69A-3177EF160042}">
      <text>
        <r>
          <rPr>
            <sz val="11"/>
            <color theme="1"/>
            <rFont val="Calibri"/>
            <family val="2"/>
            <scheme val="minor"/>
          </rPr>
          <t>Introducir un texto con el nombre o referencia de la contratación</t>
        </r>
      </text>
    </comment>
    <comment ref="B215" authorId="1" shapeId="0" xr:uid="{92B113C4-9A48-4E4E-9889-FDED324F9102}">
      <text>
        <r>
          <rPr>
            <sz val="11"/>
            <color theme="1"/>
            <rFont val="Calibri"/>
            <family val="2"/>
            <scheme val="minor"/>
          </rPr>
          <t>Introduzca un texto con la finalidad de la contratación</t>
        </r>
      </text>
    </comment>
    <comment ref="C215" authorId="1" shapeId="0" xr:uid="{1D00E37F-FBDA-4CBE-82ED-247EE34D8F25}">
      <text>
        <r>
          <rPr>
            <sz val="11"/>
            <color theme="1"/>
            <rFont val="Calibri"/>
            <family val="2"/>
            <scheme val="minor"/>
          </rPr>
          <t>Seleccionar un valor del listado</t>
        </r>
      </text>
    </comment>
    <comment ref="D215" authorId="1" shapeId="0" xr:uid="{A2BCC503-7F9F-42E4-AFE7-894ACB60E992}">
      <text>
        <r>
          <rPr>
            <sz val="11"/>
            <color theme="1"/>
            <rFont val="Calibri"/>
            <family val="2"/>
            <scheme val="minor"/>
          </rPr>
          <t>Seleccione el tipo de procedimiento</t>
        </r>
      </text>
    </comment>
    <comment ref="E215" authorId="1" shapeId="0" xr:uid="{27F01D48-C885-4781-B43E-70BAE367BDFE}">
      <text>
        <r>
          <rPr>
            <sz val="11"/>
            <color theme="1"/>
            <rFont val="Calibri"/>
            <family val="2"/>
            <scheme val="minor"/>
          </rPr>
          <t>Seleccione un valor de la lista</t>
        </r>
      </text>
    </comment>
    <comment ref="F215" authorId="1" shapeId="0" xr:uid="{B4A5CE3B-0899-4B44-98BD-7259BFA5C060}">
      <text>
        <r>
          <rPr>
            <sz val="11"/>
            <color theme="1"/>
            <rFont val="Calibri"/>
            <family val="2"/>
            <scheme val="minor"/>
          </rPr>
          <t>Introduzca el código SNIP</t>
        </r>
      </text>
    </comment>
    <comment ref="C216" authorId="1" shapeId="0" xr:uid="{80170DE8-8E1E-4533-893B-B543DC6210AE}">
      <text>
        <r>
          <rPr>
            <sz val="11"/>
            <color theme="1"/>
            <rFont val="Calibri"/>
            <family val="2"/>
            <scheme val="minor"/>
          </rPr>
          <t>Introduzca la fecha de inicio del proceso, en formato dd-mm-aaaa</t>
        </r>
      </text>
    </comment>
    <comment ref="F216" authorId="1" shapeId="0" xr:uid="{6F6C7364-4DF6-4056-A917-29132B91ED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650238C5-1E12-4B35-855E-7556698CE2ED}">
      <text/>
    </comment>
    <comment ref="C218" authorId="1" shapeId="0" xr:uid="{CD6419AA-D36D-47BC-8BDA-DA4DEB4E331F}">
      <text>
        <r>
          <rPr>
            <sz val="11"/>
            <color theme="1"/>
            <rFont val="Calibri"/>
            <family val="2"/>
            <scheme val="minor"/>
          </rPr>
          <t>Introduzca la fecha prevista de adjudicación, en formato dd-mm-aaaa</t>
        </r>
      </text>
    </comment>
    <comment ref="F218" authorId="1" shapeId="0" xr:uid="{47FD56EA-1022-4DB7-BF95-6BE243B39B44}">
      <text/>
    </comment>
    <comment ref="F219" authorId="1" shapeId="0" xr:uid="{BAB55F6F-CFCB-4A0D-9B5E-A71A3E01B6AD}">
      <text/>
    </comment>
    <comment ref="A221" authorId="1" shapeId="0" xr:uid="{FBF05657-AC7D-4026-86BF-7D8B047C8914}">
      <text>
        <r>
          <rPr>
            <sz val="11"/>
            <color theme="1"/>
            <rFont val="Calibri"/>
            <family val="2"/>
            <scheme val="minor"/>
          </rPr>
          <t>Introduzca un codigo UNSPSC</t>
        </r>
      </text>
    </comment>
    <comment ref="B221" authorId="1" shapeId="0" xr:uid="{A69AE747-D54B-48EC-B5C9-AF5945F79831}">
      <text>
        <r>
          <rPr>
            <sz val="11"/>
            <color theme="1"/>
            <rFont val="Calibri"/>
            <family val="2"/>
            <scheme val="minor"/>
          </rPr>
          <t>Descripción calculada automáticamente a partir de código del artículo</t>
        </r>
      </text>
    </comment>
    <comment ref="C221" authorId="1" shapeId="0" xr:uid="{357A332C-C9E9-4CF5-BD88-C09205B7F84E}">
      <text>
        <r>
          <rPr>
            <sz val="11"/>
            <color theme="1"/>
            <rFont val="Calibri"/>
            <family val="2"/>
            <scheme val="minor"/>
          </rPr>
          <t>Seleccione un valor de la lista</t>
        </r>
      </text>
    </comment>
    <comment ref="D221" authorId="1" shapeId="0" xr:uid="{3D08417D-F3A6-4EFD-85A4-8A8A709E2F5A}">
      <text>
        <r>
          <rPr>
            <sz val="11"/>
            <color theme="1"/>
            <rFont val="Calibri"/>
            <family val="2"/>
            <scheme val="minor"/>
          </rPr>
          <t>Introduzca un número con dos decimales como máximo. Debe ser igual o mayor a la "Cantidad Real Consumida"</t>
        </r>
      </text>
    </comment>
    <comment ref="E221" authorId="1" shapeId="0" xr:uid="{ABE494B8-26BF-4FC9-A2DD-17B242A66B93}">
      <text>
        <r>
          <rPr>
            <sz val="11"/>
            <color theme="1"/>
            <rFont val="Calibri"/>
            <family val="2"/>
            <scheme val="minor"/>
          </rPr>
          <t>Introduzca un número con dos decimales como máximo</t>
        </r>
      </text>
    </comment>
    <comment ref="F221" authorId="1" shapeId="0" xr:uid="{E7EBD5BD-5781-449B-923E-40E084FDCD14}">
      <text>
        <r>
          <rPr>
            <sz val="11"/>
            <color theme="1"/>
            <rFont val="Calibri"/>
            <family val="2"/>
            <scheme val="minor"/>
          </rPr>
          <t>Monto calculado automáticamente por el sistema</t>
        </r>
      </text>
    </comment>
    <comment ref="A250" authorId="1" shapeId="0" xr:uid="{C8E71271-26B5-41CC-8A54-041CF5C14E10}">
      <text>
        <r>
          <rPr>
            <sz val="11"/>
            <color theme="1"/>
            <rFont val="Calibri"/>
            <family val="2"/>
            <scheme val="minor"/>
          </rPr>
          <t>Introducir un texto con el nombre o referencia de la contratación</t>
        </r>
      </text>
    </comment>
    <comment ref="B250" authorId="1" shapeId="0" xr:uid="{8BD99B9F-BA64-4B9A-90A0-51C30918B95A}">
      <text>
        <r>
          <rPr>
            <sz val="11"/>
            <color theme="1"/>
            <rFont val="Calibri"/>
            <family val="2"/>
            <scheme val="minor"/>
          </rPr>
          <t>Introduzca un texto con la finalidad de la contratación</t>
        </r>
      </text>
    </comment>
    <comment ref="C250" authorId="1" shapeId="0" xr:uid="{6C984430-12B6-441B-B89D-6AF187945428}">
      <text>
        <r>
          <rPr>
            <sz val="11"/>
            <color theme="1"/>
            <rFont val="Calibri"/>
            <family val="2"/>
            <scheme val="minor"/>
          </rPr>
          <t>Seleccionar un valor del listado</t>
        </r>
      </text>
    </comment>
    <comment ref="D250" authorId="1" shapeId="0" xr:uid="{B4764603-23C8-4450-8C67-417B1ED49C42}">
      <text>
        <r>
          <rPr>
            <sz val="11"/>
            <color theme="1"/>
            <rFont val="Calibri"/>
            <family val="2"/>
            <scheme val="minor"/>
          </rPr>
          <t>Seleccione el tipo de procedimiento</t>
        </r>
      </text>
    </comment>
    <comment ref="E250" authorId="1" shapeId="0" xr:uid="{D0A440A8-B638-41C1-BC11-FE4B93403835}">
      <text>
        <r>
          <rPr>
            <sz val="11"/>
            <color theme="1"/>
            <rFont val="Calibri"/>
            <family val="2"/>
            <scheme val="minor"/>
          </rPr>
          <t>Seleccione un valor de la lista</t>
        </r>
      </text>
    </comment>
    <comment ref="F250" authorId="1" shapeId="0" xr:uid="{EF489E94-5B1A-419C-8987-0D5CF14E2995}">
      <text>
        <r>
          <rPr>
            <sz val="11"/>
            <color theme="1"/>
            <rFont val="Calibri"/>
            <family val="2"/>
            <scheme val="minor"/>
          </rPr>
          <t>Introduzca el código SNIP</t>
        </r>
      </text>
    </comment>
    <comment ref="C251" authorId="1" shapeId="0" xr:uid="{A127147B-2336-45D6-94C1-E1DCDFC38CEE}">
      <text>
        <r>
          <rPr>
            <sz val="11"/>
            <color theme="1"/>
            <rFont val="Calibri"/>
            <family val="2"/>
            <scheme val="minor"/>
          </rPr>
          <t>Introduzca la fecha de inicio del proceso, en formato dd-mm-aaaa</t>
        </r>
      </text>
    </comment>
    <comment ref="F251" authorId="1" shapeId="0" xr:uid="{654FC36C-F5E7-4110-862F-2E13A001F9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 authorId="1" shapeId="0" xr:uid="{2C22494E-1BF1-4C8D-A3BF-8F0455C8CE1A}">
      <text/>
    </comment>
    <comment ref="C253" authorId="1" shapeId="0" xr:uid="{F8B8CF93-5CE0-46D4-8147-DC7B28D52ACC}">
      <text>
        <r>
          <rPr>
            <sz val="11"/>
            <color theme="1"/>
            <rFont val="Calibri"/>
            <family val="2"/>
            <scheme val="minor"/>
          </rPr>
          <t>Introduzca la fecha prevista de adjudicación, en formato dd-mm-aaaa</t>
        </r>
      </text>
    </comment>
    <comment ref="F253" authorId="1" shapeId="0" xr:uid="{0FBA2845-0099-444F-9FA6-174313AD86A8}">
      <text/>
    </comment>
    <comment ref="F254" authorId="1" shapeId="0" xr:uid="{C5E2D8DB-6D6E-4147-85CD-5CA40366ABA9}">
      <text/>
    </comment>
    <comment ref="A256" authorId="1" shapeId="0" xr:uid="{85954B19-6376-4F1F-AB09-F0DE0AFAA60C}">
      <text>
        <r>
          <rPr>
            <sz val="11"/>
            <color theme="1"/>
            <rFont val="Calibri"/>
            <family val="2"/>
            <scheme val="minor"/>
          </rPr>
          <t>Introduzca un codigo UNSPSC</t>
        </r>
      </text>
    </comment>
    <comment ref="B256" authorId="1" shapeId="0" xr:uid="{4FCB720D-0246-49FA-ACD8-7F39CFEA7123}">
      <text>
        <r>
          <rPr>
            <sz val="11"/>
            <color theme="1"/>
            <rFont val="Calibri"/>
            <family val="2"/>
            <scheme val="minor"/>
          </rPr>
          <t>Descripción calculada automáticamente a partir de código del artículo</t>
        </r>
      </text>
    </comment>
    <comment ref="C256" authorId="1" shapeId="0" xr:uid="{19DB291E-716F-427F-A164-15179031B8B6}">
      <text>
        <r>
          <rPr>
            <sz val="11"/>
            <color theme="1"/>
            <rFont val="Calibri"/>
            <family val="2"/>
            <scheme val="minor"/>
          </rPr>
          <t>Seleccione un valor de la lista</t>
        </r>
      </text>
    </comment>
    <comment ref="D256" authorId="1" shapeId="0" xr:uid="{AF76624C-0E7A-4C4F-9453-45A7F0BCC684}">
      <text>
        <r>
          <rPr>
            <sz val="11"/>
            <color theme="1"/>
            <rFont val="Calibri"/>
            <family val="2"/>
            <scheme val="minor"/>
          </rPr>
          <t>Introduzca un número con dos decimales como máximo. Debe ser igual o mayor a la "Cantidad Real Consumida"</t>
        </r>
      </text>
    </comment>
    <comment ref="E256" authorId="1" shapeId="0" xr:uid="{1FBC4064-A207-4FA1-A37F-593260980A0C}">
      <text>
        <r>
          <rPr>
            <sz val="11"/>
            <color theme="1"/>
            <rFont val="Calibri"/>
            <family val="2"/>
            <scheme val="minor"/>
          </rPr>
          <t>Introduzca un número con dos decimales como máximo</t>
        </r>
      </text>
    </comment>
    <comment ref="F256" authorId="1" shapeId="0" xr:uid="{3DD8BFBF-67C0-44D4-AC31-80D780EB5DBB}">
      <text>
        <r>
          <rPr>
            <sz val="11"/>
            <color theme="1"/>
            <rFont val="Calibri"/>
            <family val="2"/>
            <scheme val="minor"/>
          </rPr>
          <t>Monto calculado automáticamente por el sistema</t>
        </r>
      </text>
    </comment>
    <comment ref="A261" authorId="1" shapeId="0" xr:uid="{F33479DB-B7A5-49DA-8649-5D4B8CDE51C6}">
      <text>
        <r>
          <rPr>
            <sz val="11"/>
            <color theme="1"/>
            <rFont val="Calibri"/>
            <family val="2"/>
            <scheme val="minor"/>
          </rPr>
          <t>Introducir un texto con el nombre o referencia de la contratación</t>
        </r>
      </text>
    </comment>
    <comment ref="B261" authorId="1" shapeId="0" xr:uid="{7A625E28-12F2-4C2E-8223-7648096C4A2C}">
      <text>
        <r>
          <rPr>
            <sz val="11"/>
            <color theme="1"/>
            <rFont val="Calibri"/>
            <family val="2"/>
            <scheme val="minor"/>
          </rPr>
          <t>Introduzca un texto con la finalidad de la contratación</t>
        </r>
      </text>
    </comment>
    <comment ref="C261" authorId="1" shapeId="0" xr:uid="{116B72DF-F4FA-4426-B5C0-E22A8536064C}">
      <text>
        <r>
          <rPr>
            <sz val="11"/>
            <color theme="1"/>
            <rFont val="Calibri"/>
            <family val="2"/>
            <scheme val="minor"/>
          </rPr>
          <t>Seleccionar un valor del listado</t>
        </r>
      </text>
    </comment>
    <comment ref="D261" authorId="1" shapeId="0" xr:uid="{3F6055DF-92E0-4031-9836-4A69E1E87FA2}">
      <text>
        <r>
          <rPr>
            <sz val="11"/>
            <color theme="1"/>
            <rFont val="Calibri"/>
            <family val="2"/>
            <scheme val="minor"/>
          </rPr>
          <t>Seleccione el tipo de procedimiento</t>
        </r>
      </text>
    </comment>
    <comment ref="E261" authorId="1" shapeId="0" xr:uid="{E75E5779-0D3C-4654-8225-781B7B71DA68}">
      <text>
        <r>
          <rPr>
            <sz val="11"/>
            <color theme="1"/>
            <rFont val="Calibri"/>
            <family val="2"/>
            <scheme val="minor"/>
          </rPr>
          <t>Seleccione un valor de la lista</t>
        </r>
      </text>
    </comment>
    <comment ref="F261" authorId="1" shapeId="0" xr:uid="{C2A07005-3E1D-4275-AC80-A19016C8A907}">
      <text>
        <r>
          <rPr>
            <sz val="11"/>
            <color theme="1"/>
            <rFont val="Calibri"/>
            <family val="2"/>
            <scheme val="minor"/>
          </rPr>
          <t>Introduzca el código SNIP</t>
        </r>
      </text>
    </comment>
    <comment ref="C262" authorId="1" shapeId="0" xr:uid="{11E7EBB3-1304-4D1A-94EA-4D08149A485D}">
      <text>
        <r>
          <rPr>
            <sz val="11"/>
            <color theme="1"/>
            <rFont val="Calibri"/>
            <family val="2"/>
            <scheme val="minor"/>
          </rPr>
          <t>Introduzca la fecha de inicio del proceso, en formato dd-mm-aaaa</t>
        </r>
      </text>
    </comment>
    <comment ref="F262" authorId="1" shapeId="0" xr:uid="{9BFA1304-B405-4480-AD43-1BA55B2369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1" shapeId="0" xr:uid="{4C09135E-894D-4235-B175-5A704E7E4DCD}">
      <text/>
    </comment>
    <comment ref="C264" authorId="1" shapeId="0" xr:uid="{ADD7D7E7-9FA5-4F8A-ACEF-17C184E2C4F0}">
      <text>
        <r>
          <rPr>
            <sz val="11"/>
            <color theme="1"/>
            <rFont val="Calibri"/>
            <family val="2"/>
            <scheme val="minor"/>
          </rPr>
          <t>Introduzca la fecha prevista de adjudicación, en formato dd-mm-aaaa</t>
        </r>
      </text>
    </comment>
    <comment ref="F264" authorId="1" shapeId="0" xr:uid="{8B632920-2EB6-4772-ACBB-B29747F50E54}">
      <text/>
    </comment>
    <comment ref="F265" authorId="1" shapeId="0" xr:uid="{2FEC5049-9F21-4CD1-AB43-E01BE4C6AE44}">
      <text/>
    </comment>
    <comment ref="A267" authorId="1" shapeId="0" xr:uid="{4035FC20-5B70-42BF-8122-E29A7514B849}">
      <text>
        <r>
          <rPr>
            <sz val="11"/>
            <color theme="1"/>
            <rFont val="Calibri"/>
            <family val="2"/>
            <scheme val="minor"/>
          </rPr>
          <t>Introduzca un codigo UNSPSC</t>
        </r>
      </text>
    </comment>
    <comment ref="B267" authorId="1" shapeId="0" xr:uid="{63223CC9-5979-48B1-B3A9-A5634C20D1BC}">
      <text>
        <r>
          <rPr>
            <sz val="11"/>
            <color theme="1"/>
            <rFont val="Calibri"/>
            <family val="2"/>
            <scheme val="minor"/>
          </rPr>
          <t>Descripción calculada automáticamente a partir de código del artículo</t>
        </r>
      </text>
    </comment>
    <comment ref="C267" authorId="1" shapeId="0" xr:uid="{BEB26A9C-3BF2-4A97-B027-BCCE4D32B2E5}">
      <text>
        <r>
          <rPr>
            <sz val="11"/>
            <color theme="1"/>
            <rFont val="Calibri"/>
            <family val="2"/>
            <scheme val="minor"/>
          </rPr>
          <t>Seleccione un valor de la lista</t>
        </r>
      </text>
    </comment>
    <comment ref="D267" authorId="1" shapeId="0" xr:uid="{D0D86C6C-1481-4787-9E57-AA33EB512802}">
      <text>
        <r>
          <rPr>
            <sz val="11"/>
            <color theme="1"/>
            <rFont val="Calibri"/>
            <family val="2"/>
            <scheme val="minor"/>
          </rPr>
          <t>Introduzca un número con dos decimales como máximo. Debe ser igual o mayor a la "Cantidad Real Consumida"</t>
        </r>
      </text>
    </comment>
    <comment ref="E267" authorId="1" shapeId="0" xr:uid="{23AA87CC-AE4E-45AA-8C0B-D62EA03D2540}">
      <text>
        <r>
          <rPr>
            <sz val="11"/>
            <color theme="1"/>
            <rFont val="Calibri"/>
            <family val="2"/>
            <scheme val="minor"/>
          </rPr>
          <t>Introduzca un número con dos decimales como máximo</t>
        </r>
      </text>
    </comment>
    <comment ref="F267" authorId="1" shapeId="0" xr:uid="{84C9A713-0B01-4C84-9160-AD31C8A3CEDE}">
      <text>
        <r>
          <rPr>
            <sz val="11"/>
            <color theme="1"/>
            <rFont val="Calibri"/>
            <family val="2"/>
            <scheme val="minor"/>
          </rPr>
          <t>Monto calculado automáticamente por el sistema</t>
        </r>
      </text>
    </comment>
    <comment ref="A291" authorId="1" shapeId="0" xr:uid="{9B27E48F-CC0C-4D8B-B032-E254A952A6BB}">
      <text>
        <r>
          <rPr>
            <sz val="11"/>
            <color theme="1"/>
            <rFont val="Calibri"/>
            <family val="2"/>
            <scheme val="minor"/>
          </rPr>
          <t>Introducir un texto con el nombre o referencia de la contratación</t>
        </r>
      </text>
    </comment>
    <comment ref="B291" authorId="1" shapeId="0" xr:uid="{CC9E5A67-8435-4DF3-A4CC-21842796C92A}">
      <text>
        <r>
          <rPr>
            <sz val="11"/>
            <color theme="1"/>
            <rFont val="Calibri"/>
            <family val="2"/>
            <scheme val="minor"/>
          </rPr>
          <t>Introduzca un texto con la finalidad de la contratación</t>
        </r>
      </text>
    </comment>
    <comment ref="C291" authorId="1" shapeId="0" xr:uid="{9D4CF250-D63A-4605-BAE1-3C08FD8E9F0F}">
      <text>
        <r>
          <rPr>
            <sz val="11"/>
            <color theme="1"/>
            <rFont val="Calibri"/>
            <family val="2"/>
            <scheme val="minor"/>
          </rPr>
          <t>Seleccionar un valor del listado</t>
        </r>
      </text>
    </comment>
    <comment ref="D291" authorId="1" shapeId="0" xr:uid="{F4E729E7-65C2-4AD5-BB64-2C6544170084}">
      <text>
        <r>
          <rPr>
            <sz val="11"/>
            <color theme="1"/>
            <rFont val="Calibri"/>
            <family val="2"/>
            <scheme val="minor"/>
          </rPr>
          <t>Seleccione el tipo de procedimiento</t>
        </r>
      </text>
    </comment>
    <comment ref="E291" authorId="1" shapeId="0" xr:uid="{AFF15052-A8A8-4769-9760-A92ABD4D80CC}">
      <text>
        <r>
          <rPr>
            <sz val="11"/>
            <color theme="1"/>
            <rFont val="Calibri"/>
            <family val="2"/>
            <scheme val="minor"/>
          </rPr>
          <t>Seleccione un valor de la lista</t>
        </r>
      </text>
    </comment>
    <comment ref="F291" authorId="1" shapeId="0" xr:uid="{EBBB30A6-4F75-4580-AB0E-59E21A924189}">
      <text>
        <r>
          <rPr>
            <sz val="11"/>
            <color theme="1"/>
            <rFont val="Calibri"/>
            <family val="2"/>
            <scheme val="minor"/>
          </rPr>
          <t>Introduzca el código SNIP</t>
        </r>
      </text>
    </comment>
    <comment ref="C292" authorId="1" shapeId="0" xr:uid="{BB498055-0F48-41A5-AFFD-FA58408E4667}">
      <text>
        <r>
          <rPr>
            <sz val="11"/>
            <color theme="1"/>
            <rFont val="Calibri"/>
            <family val="2"/>
            <scheme val="minor"/>
          </rPr>
          <t>Introduzca la fecha de inicio del proceso, en formato dd-mm-aaaa</t>
        </r>
      </text>
    </comment>
    <comment ref="F292" authorId="1" shapeId="0" xr:uid="{B8A988ED-2CFB-4893-9753-9DCFF964B5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1" shapeId="0" xr:uid="{969AB533-FBEC-4E48-B65F-3E62F79BDAB5}">
      <text/>
    </comment>
    <comment ref="C294" authorId="1" shapeId="0" xr:uid="{F1C86B8A-E1A4-4F1A-89A9-76E26E289AEF}">
      <text>
        <r>
          <rPr>
            <sz val="11"/>
            <color theme="1"/>
            <rFont val="Calibri"/>
            <family val="2"/>
            <scheme val="minor"/>
          </rPr>
          <t>Introduzca la fecha prevista de adjudicación, en formato dd-mm-aaaa</t>
        </r>
      </text>
    </comment>
    <comment ref="F294" authorId="1" shapeId="0" xr:uid="{7A8F75FE-46E7-4CE5-AC41-EA7A3F449AB5}">
      <text/>
    </comment>
    <comment ref="F295" authorId="1" shapeId="0" xr:uid="{5F02AE65-937E-4BBB-922D-D51D4C75F1BD}">
      <text/>
    </comment>
    <comment ref="A297" authorId="1" shapeId="0" xr:uid="{7E9C831B-9F4F-4A00-9046-65A0830E7E93}">
      <text>
        <r>
          <rPr>
            <sz val="11"/>
            <color theme="1"/>
            <rFont val="Calibri"/>
            <family val="2"/>
            <scheme val="minor"/>
          </rPr>
          <t>Introduzca un codigo UNSPSC</t>
        </r>
      </text>
    </comment>
    <comment ref="B297" authorId="1" shapeId="0" xr:uid="{741634A7-703F-471A-A5D5-3E879286C3EE}">
      <text>
        <r>
          <rPr>
            <sz val="11"/>
            <color theme="1"/>
            <rFont val="Calibri"/>
            <family val="2"/>
            <scheme val="minor"/>
          </rPr>
          <t>Descripción calculada automáticamente a partir de código del artículo</t>
        </r>
      </text>
    </comment>
    <comment ref="C297" authorId="1" shapeId="0" xr:uid="{380A0F05-D01E-4DB7-A9C1-EF005C3AEADE}">
      <text>
        <r>
          <rPr>
            <sz val="11"/>
            <color theme="1"/>
            <rFont val="Calibri"/>
            <family val="2"/>
            <scheme val="minor"/>
          </rPr>
          <t>Seleccione un valor de la lista</t>
        </r>
      </text>
    </comment>
    <comment ref="D297" authorId="1" shapeId="0" xr:uid="{E748ADBA-59D8-44A8-9C0E-FAE10ED62830}">
      <text>
        <r>
          <rPr>
            <sz val="11"/>
            <color theme="1"/>
            <rFont val="Calibri"/>
            <family val="2"/>
            <scheme val="minor"/>
          </rPr>
          <t>Introduzca un número con dos decimales como máximo. Debe ser igual o mayor a la "Cantidad Real Consumida"</t>
        </r>
      </text>
    </comment>
    <comment ref="E297" authorId="1" shapeId="0" xr:uid="{5716068B-BC26-442C-BE02-8167A140CE4B}">
      <text>
        <r>
          <rPr>
            <sz val="11"/>
            <color theme="1"/>
            <rFont val="Calibri"/>
            <family val="2"/>
            <scheme val="minor"/>
          </rPr>
          <t>Introduzca un número con dos decimales como máximo</t>
        </r>
      </text>
    </comment>
    <comment ref="F297" authorId="1" shapeId="0" xr:uid="{933DFB54-B53B-491C-9438-1882B18CAF6B}">
      <text>
        <r>
          <rPr>
            <sz val="11"/>
            <color theme="1"/>
            <rFont val="Calibri"/>
            <family val="2"/>
            <scheme val="minor"/>
          </rPr>
          <t>Monto calculado automáticamente por el sistema</t>
        </r>
      </text>
    </comment>
    <comment ref="A302" authorId="1" shapeId="0" xr:uid="{80E3CBC7-D22A-4618-8ABC-DD68CE7A11BA}">
      <text>
        <r>
          <rPr>
            <sz val="11"/>
            <color theme="1"/>
            <rFont val="Calibri"/>
            <family val="2"/>
            <scheme val="minor"/>
          </rPr>
          <t>Introducir un texto con el nombre o referencia de la contratación</t>
        </r>
      </text>
    </comment>
    <comment ref="B302" authorId="1" shapeId="0" xr:uid="{1602CD8C-72C7-427F-BC58-8155499420CF}">
      <text>
        <r>
          <rPr>
            <sz val="11"/>
            <color theme="1"/>
            <rFont val="Calibri"/>
            <family val="2"/>
            <scheme val="minor"/>
          </rPr>
          <t>Introduzca un texto con la finalidad de la contratación</t>
        </r>
      </text>
    </comment>
    <comment ref="C302" authorId="1" shapeId="0" xr:uid="{28CCA1E8-BB00-4E12-9757-A41573100DC0}">
      <text>
        <r>
          <rPr>
            <sz val="11"/>
            <color theme="1"/>
            <rFont val="Calibri"/>
            <family val="2"/>
            <scheme val="minor"/>
          </rPr>
          <t>Seleccionar un valor del listado</t>
        </r>
      </text>
    </comment>
    <comment ref="D302" authorId="1" shapeId="0" xr:uid="{AB10FB67-7888-48FA-9A09-6759FC8F265D}">
      <text>
        <r>
          <rPr>
            <sz val="11"/>
            <color theme="1"/>
            <rFont val="Calibri"/>
            <family val="2"/>
            <scheme val="minor"/>
          </rPr>
          <t>Seleccione el tipo de procedimiento</t>
        </r>
      </text>
    </comment>
    <comment ref="E302" authorId="1" shapeId="0" xr:uid="{4D3D3690-D6E7-413F-962F-E897FF1B361D}">
      <text>
        <r>
          <rPr>
            <sz val="11"/>
            <color theme="1"/>
            <rFont val="Calibri"/>
            <family val="2"/>
            <scheme val="minor"/>
          </rPr>
          <t>Seleccione un valor de la lista</t>
        </r>
      </text>
    </comment>
    <comment ref="F302" authorId="1" shapeId="0" xr:uid="{9CC77908-6E13-4DC3-8BF4-1FFBCFCF183D}">
      <text>
        <r>
          <rPr>
            <sz val="11"/>
            <color theme="1"/>
            <rFont val="Calibri"/>
            <family val="2"/>
            <scheme val="minor"/>
          </rPr>
          <t>Introduzca el código SNIP</t>
        </r>
      </text>
    </comment>
    <comment ref="C303" authorId="1" shapeId="0" xr:uid="{6D57EC51-3099-423B-B92B-43683EB125EE}">
      <text>
        <r>
          <rPr>
            <sz val="11"/>
            <color theme="1"/>
            <rFont val="Calibri"/>
            <family val="2"/>
            <scheme val="minor"/>
          </rPr>
          <t>Introduzca la fecha de inicio del proceso, en formato dd-mm-aaaa</t>
        </r>
      </text>
    </comment>
    <comment ref="F303" authorId="1" shapeId="0" xr:uid="{E47B0FE0-0E55-4588-816D-1D9D60D895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76D8E1BF-1024-4B9F-851B-2179E8E35B08}">
      <text/>
    </comment>
    <comment ref="C305" authorId="1" shapeId="0" xr:uid="{DDA91902-5E2A-4B45-990B-4061470F0E76}">
      <text>
        <r>
          <rPr>
            <sz val="11"/>
            <color theme="1"/>
            <rFont val="Calibri"/>
            <family val="2"/>
            <scheme val="minor"/>
          </rPr>
          <t>Introduzca la fecha prevista de adjudicación, en formato dd-mm-aaaa</t>
        </r>
      </text>
    </comment>
    <comment ref="F305" authorId="1" shapeId="0" xr:uid="{0518D6C9-280A-4585-8471-25547D657C52}">
      <text/>
    </comment>
    <comment ref="F306" authorId="1" shapeId="0" xr:uid="{0D289F7A-08A9-4C1D-A574-9886E68F6E8C}">
      <text/>
    </comment>
    <comment ref="A308" authorId="1" shapeId="0" xr:uid="{B8E7D5F4-2378-49B4-80BF-174F264889EC}">
      <text>
        <r>
          <rPr>
            <sz val="11"/>
            <color theme="1"/>
            <rFont val="Calibri"/>
            <family val="2"/>
            <scheme val="minor"/>
          </rPr>
          <t>Introduzca un codigo UNSPSC</t>
        </r>
      </text>
    </comment>
    <comment ref="B308" authorId="1" shapeId="0" xr:uid="{1B3D67DC-EBE5-43BB-B7D4-A624387F119A}">
      <text>
        <r>
          <rPr>
            <sz val="11"/>
            <color theme="1"/>
            <rFont val="Calibri"/>
            <family val="2"/>
            <scheme val="minor"/>
          </rPr>
          <t>Descripción calculada automáticamente a partir de código del artículo</t>
        </r>
      </text>
    </comment>
    <comment ref="C308" authorId="1" shapeId="0" xr:uid="{7DACF878-D343-402E-96B9-0CDC623D53F2}">
      <text>
        <r>
          <rPr>
            <sz val="11"/>
            <color theme="1"/>
            <rFont val="Calibri"/>
            <family val="2"/>
            <scheme val="minor"/>
          </rPr>
          <t>Seleccione un valor de la lista</t>
        </r>
      </text>
    </comment>
    <comment ref="D308" authorId="1" shapeId="0" xr:uid="{3255520D-D548-4C84-A8D1-11ADE77B1454}">
      <text>
        <r>
          <rPr>
            <sz val="11"/>
            <color theme="1"/>
            <rFont val="Calibri"/>
            <family val="2"/>
            <scheme val="minor"/>
          </rPr>
          <t>Introduzca un número con dos decimales como máximo. Debe ser igual o mayor a la "Cantidad Real Consumida"</t>
        </r>
      </text>
    </comment>
    <comment ref="E308" authorId="1" shapeId="0" xr:uid="{6DDFFD90-5183-4C18-BA0C-9D40C9616397}">
      <text>
        <r>
          <rPr>
            <sz val="11"/>
            <color theme="1"/>
            <rFont val="Calibri"/>
            <family val="2"/>
            <scheme val="minor"/>
          </rPr>
          <t>Introduzca un número con dos decimales como máximo</t>
        </r>
      </text>
    </comment>
    <comment ref="F308" authorId="1" shapeId="0" xr:uid="{F1CFEE46-98B9-48C3-9B26-4A66653AC32A}">
      <text>
        <r>
          <rPr>
            <sz val="11"/>
            <color theme="1"/>
            <rFont val="Calibri"/>
            <family val="2"/>
            <scheme val="minor"/>
          </rPr>
          <t>Monto calculado automáticamente por el sistema</t>
        </r>
      </text>
    </comment>
    <comment ref="A313" authorId="1" shapeId="0" xr:uid="{FB16B210-408B-4D2D-ABF1-4B444B285DC8}">
      <text>
        <r>
          <rPr>
            <sz val="11"/>
            <color theme="1"/>
            <rFont val="Calibri"/>
            <family val="2"/>
            <scheme val="minor"/>
          </rPr>
          <t>Introducir un texto con el nombre o referencia de la contratación</t>
        </r>
      </text>
    </comment>
    <comment ref="B313" authorId="1" shapeId="0" xr:uid="{24AEF83D-865A-4E11-8B00-664B84B7FA2A}">
      <text>
        <r>
          <rPr>
            <sz val="11"/>
            <color theme="1"/>
            <rFont val="Calibri"/>
            <family val="2"/>
            <scheme val="minor"/>
          </rPr>
          <t>Introduzca un texto con la finalidad de la contratación</t>
        </r>
      </text>
    </comment>
    <comment ref="C313" authorId="1" shapeId="0" xr:uid="{AD3F84C7-23AC-40A7-AC77-ACBE97710B15}">
      <text>
        <r>
          <rPr>
            <sz val="11"/>
            <color theme="1"/>
            <rFont val="Calibri"/>
            <family val="2"/>
            <scheme val="minor"/>
          </rPr>
          <t>Seleccionar un valor del listado</t>
        </r>
      </text>
    </comment>
    <comment ref="D313" authorId="1" shapeId="0" xr:uid="{F486CE71-D87C-4855-988D-8C5A661222F8}">
      <text>
        <r>
          <rPr>
            <sz val="11"/>
            <color theme="1"/>
            <rFont val="Calibri"/>
            <family val="2"/>
            <scheme val="minor"/>
          </rPr>
          <t>Seleccione el tipo de procedimiento</t>
        </r>
      </text>
    </comment>
    <comment ref="E313" authorId="1" shapeId="0" xr:uid="{F38A5AA5-D714-4A17-B171-176F99C51ABF}">
      <text>
        <r>
          <rPr>
            <sz val="11"/>
            <color theme="1"/>
            <rFont val="Calibri"/>
            <family val="2"/>
            <scheme val="minor"/>
          </rPr>
          <t>Seleccione un valor de la lista</t>
        </r>
      </text>
    </comment>
    <comment ref="F313" authorId="1" shapeId="0" xr:uid="{070E7681-7484-4EFB-826B-F689CD7F39EE}">
      <text>
        <r>
          <rPr>
            <sz val="11"/>
            <color theme="1"/>
            <rFont val="Calibri"/>
            <family val="2"/>
            <scheme val="minor"/>
          </rPr>
          <t>Introduzca el código SNIP</t>
        </r>
      </text>
    </comment>
    <comment ref="C314" authorId="1" shapeId="0" xr:uid="{BCEC0C49-B9BA-4D5B-9F40-EC9486901A68}">
      <text>
        <r>
          <rPr>
            <sz val="11"/>
            <color theme="1"/>
            <rFont val="Calibri"/>
            <family val="2"/>
            <scheme val="minor"/>
          </rPr>
          <t>Introduzca la fecha de inicio del proceso, en formato dd-mm-aaaa</t>
        </r>
      </text>
    </comment>
    <comment ref="F314" authorId="1" shapeId="0" xr:uid="{CCDA29B7-4449-4C15-9C07-A9D373A93C6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1BB9805B-C911-4C9B-8BD3-E8E95389F1DA}">
      <text/>
    </comment>
    <comment ref="C316" authorId="1" shapeId="0" xr:uid="{EAE8BF40-6E8F-43CE-BA69-9663B4DD47B4}">
      <text>
        <r>
          <rPr>
            <sz val="11"/>
            <color theme="1"/>
            <rFont val="Calibri"/>
            <family val="2"/>
            <scheme val="minor"/>
          </rPr>
          <t>Introduzca la fecha prevista de adjudicación, en formato dd-mm-aaaa</t>
        </r>
      </text>
    </comment>
    <comment ref="F316" authorId="1" shapeId="0" xr:uid="{22FC8EB0-2292-42C8-BFB2-272AFE664C5F}">
      <text/>
    </comment>
    <comment ref="F317" authorId="1" shapeId="0" xr:uid="{1404F3AC-26FD-4724-ADE0-80F0F079787C}">
      <text/>
    </comment>
    <comment ref="A319" authorId="1" shapeId="0" xr:uid="{3143A3A0-65F8-4163-B9A6-5BE120989BC5}">
      <text>
        <r>
          <rPr>
            <sz val="11"/>
            <color theme="1"/>
            <rFont val="Calibri"/>
            <family val="2"/>
            <scheme val="minor"/>
          </rPr>
          <t>Introduzca un codigo UNSPSC</t>
        </r>
      </text>
    </comment>
    <comment ref="B319" authorId="1" shapeId="0" xr:uid="{F3BD6ED8-42E6-46C3-9B4F-FFE33939C869}">
      <text>
        <r>
          <rPr>
            <sz val="11"/>
            <color theme="1"/>
            <rFont val="Calibri"/>
            <family val="2"/>
            <scheme val="minor"/>
          </rPr>
          <t>Descripción calculada automáticamente a partir de código del artículo</t>
        </r>
      </text>
    </comment>
    <comment ref="C319" authorId="1" shapeId="0" xr:uid="{A3F2A74C-A2D8-4935-9B1D-DEA131F9866D}">
      <text>
        <r>
          <rPr>
            <sz val="11"/>
            <color theme="1"/>
            <rFont val="Calibri"/>
            <family val="2"/>
            <scheme val="minor"/>
          </rPr>
          <t>Seleccione un valor de la lista</t>
        </r>
      </text>
    </comment>
    <comment ref="D319" authorId="1" shapeId="0" xr:uid="{47C8BC92-1E42-4E6A-9920-4D9999A48170}">
      <text>
        <r>
          <rPr>
            <sz val="11"/>
            <color theme="1"/>
            <rFont val="Calibri"/>
            <family val="2"/>
            <scheme val="minor"/>
          </rPr>
          <t>Introduzca un número con dos decimales como máximo. Debe ser igual o mayor a la "Cantidad Real Consumida"</t>
        </r>
      </text>
    </comment>
    <comment ref="E319" authorId="1" shapeId="0" xr:uid="{0E18B989-7416-4DA5-904C-16A3A6A28E9F}">
      <text>
        <r>
          <rPr>
            <sz val="11"/>
            <color theme="1"/>
            <rFont val="Calibri"/>
            <family val="2"/>
            <scheme val="minor"/>
          </rPr>
          <t>Introduzca un número con dos decimales como máximo</t>
        </r>
      </text>
    </comment>
    <comment ref="F319" authorId="1" shapeId="0" xr:uid="{409F59C9-2E7B-4341-A0F4-5B4CE11C4EBF}">
      <text>
        <r>
          <rPr>
            <sz val="11"/>
            <color theme="1"/>
            <rFont val="Calibri"/>
            <family val="2"/>
            <scheme val="minor"/>
          </rPr>
          <t>Monto calculado automáticamente por el sistema</t>
        </r>
      </text>
    </comment>
    <comment ref="A324" authorId="1" shapeId="0" xr:uid="{7893A31F-FC84-47A4-BA22-780CC1B702CB}">
      <text>
        <r>
          <rPr>
            <sz val="11"/>
            <color theme="1"/>
            <rFont val="Calibri"/>
            <family val="2"/>
            <scheme val="minor"/>
          </rPr>
          <t>Introducir un texto con el nombre o referencia de la contratación</t>
        </r>
      </text>
    </comment>
    <comment ref="B324" authorId="1" shapeId="0" xr:uid="{0E7BCF5E-CA25-4BCA-806A-3C11FF5375A3}">
      <text>
        <r>
          <rPr>
            <sz val="11"/>
            <color theme="1"/>
            <rFont val="Calibri"/>
            <family val="2"/>
            <scheme val="minor"/>
          </rPr>
          <t>Introduzca un texto con la finalidad de la contratación</t>
        </r>
      </text>
    </comment>
    <comment ref="C324" authorId="1" shapeId="0" xr:uid="{676A0F3D-A7D9-483E-BFAB-BA1FC2ED1CD1}">
      <text>
        <r>
          <rPr>
            <sz val="11"/>
            <color theme="1"/>
            <rFont val="Calibri"/>
            <family val="2"/>
            <scheme val="minor"/>
          </rPr>
          <t>Seleccionar un valor del listado</t>
        </r>
      </text>
    </comment>
    <comment ref="D324" authorId="1" shapeId="0" xr:uid="{3B150E1F-F07E-4A99-A317-95E729BB58CC}">
      <text>
        <r>
          <rPr>
            <sz val="11"/>
            <color theme="1"/>
            <rFont val="Calibri"/>
            <family val="2"/>
            <scheme val="minor"/>
          </rPr>
          <t>Seleccione el tipo de procedimiento</t>
        </r>
      </text>
    </comment>
    <comment ref="E324" authorId="1" shapeId="0" xr:uid="{D76F92A8-968D-43B7-9989-D88CEAD9C5F5}">
      <text>
        <r>
          <rPr>
            <sz val="11"/>
            <color theme="1"/>
            <rFont val="Calibri"/>
            <family val="2"/>
            <scheme val="minor"/>
          </rPr>
          <t>Seleccione un valor de la lista</t>
        </r>
      </text>
    </comment>
    <comment ref="F324" authorId="1" shapeId="0" xr:uid="{BFAD5D0E-8E85-411C-883B-D6E80B7C4DCC}">
      <text>
        <r>
          <rPr>
            <sz val="11"/>
            <color theme="1"/>
            <rFont val="Calibri"/>
            <family val="2"/>
            <scheme val="minor"/>
          </rPr>
          <t>Introduzca el código SNIP</t>
        </r>
      </text>
    </comment>
    <comment ref="C325" authorId="1" shapeId="0" xr:uid="{A5A93933-4803-4DF1-8EB3-AF144B940FA2}">
      <text>
        <r>
          <rPr>
            <sz val="11"/>
            <color theme="1"/>
            <rFont val="Calibri"/>
            <family val="2"/>
            <scheme val="minor"/>
          </rPr>
          <t>Introduzca la fecha de inicio del proceso, en formato dd-mm-aaaa</t>
        </r>
      </text>
    </comment>
    <comment ref="F325" authorId="1" shapeId="0" xr:uid="{27E7FD2F-BCB1-489E-AB16-63C20EDD11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D7311846-63D3-47B7-AC7C-4B19D0B07E0C}">
      <text/>
    </comment>
    <comment ref="C327" authorId="1" shapeId="0" xr:uid="{8F66A5ED-B683-45E3-9455-CCEA6537FFCE}">
      <text>
        <r>
          <rPr>
            <sz val="11"/>
            <color theme="1"/>
            <rFont val="Calibri"/>
            <family val="2"/>
            <scheme val="minor"/>
          </rPr>
          <t>Introduzca la fecha prevista de adjudicación, en formato dd-mm-aaaa</t>
        </r>
      </text>
    </comment>
    <comment ref="F327" authorId="1" shapeId="0" xr:uid="{D3294414-D11B-4951-A3BE-4DD9376465A0}">
      <text/>
    </comment>
    <comment ref="F328" authorId="1" shapeId="0" xr:uid="{72A49125-6EFD-4C6D-8822-DDC3ADCC817B}">
      <text/>
    </comment>
    <comment ref="A330" authorId="1" shapeId="0" xr:uid="{63D1D1E0-3115-4A1A-B361-D5EC0F7F3385}">
      <text>
        <r>
          <rPr>
            <sz val="11"/>
            <color theme="1"/>
            <rFont val="Calibri"/>
            <family val="2"/>
            <scheme val="minor"/>
          </rPr>
          <t>Introduzca un codigo UNSPSC</t>
        </r>
      </text>
    </comment>
    <comment ref="B330" authorId="1" shapeId="0" xr:uid="{174968C4-7818-4E20-BA86-E5DE0F6538D3}">
      <text>
        <r>
          <rPr>
            <sz val="11"/>
            <color theme="1"/>
            <rFont val="Calibri"/>
            <family val="2"/>
            <scheme val="minor"/>
          </rPr>
          <t>Descripción calculada automáticamente a partir de código del artículo</t>
        </r>
      </text>
    </comment>
    <comment ref="C330" authorId="1" shapeId="0" xr:uid="{B125CD8D-475A-4D80-BEC8-A2538B176032}">
      <text>
        <r>
          <rPr>
            <sz val="11"/>
            <color theme="1"/>
            <rFont val="Calibri"/>
            <family val="2"/>
            <scheme val="minor"/>
          </rPr>
          <t>Seleccione un valor de la lista</t>
        </r>
      </text>
    </comment>
    <comment ref="D330" authorId="1" shapeId="0" xr:uid="{9E4F6899-8F62-4711-B1E9-B8287786B2AF}">
      <text>
        <r>
          <rPr>
            <sz val="11"/>
            <color theme="1"/>
            <rFont val="Calibri"/>
            <family val="2"/>
            <scheme val="minor"/>
          </rPr>
          <t>Introduzca un número con dos decimales como máximo. Debe ser igual o mayor a la "Cantidad Real Consumida"</t>
        </r>
      </text>
    </comment>
    <comment ref="E330" authorId="1" shapeId="0" xr:uid="{CB54FB53-4B60-42AA-8E4D-BB17A224BA43}">
      <text>
        <r>
          <rPr>
            <sz val="11"/>
            <color theme="1"/>
            <rFont val="Calibri"/>
            <family val="2"/>
            <scheme val="minor"/>
          </rPr>
          <t>Introduzca un número con dos decimales como máximo</t>
        </r>
      </text>
    </comment>
    <comment ref="F330" authorId="1" shapeId="0" xr:uid="{134A1166-C289-467A-ACE3-F3C543FF96C0}">
      <text>
        <r>
          <rPr>
            <sz val="11"/>
            <color theme="1"/>
            <rFont val="Calibri"/>
            <family val="2"/>
            <scheme val="minor"/>
          </rPr>
          <t>Monto calculado automáticamente por el sistema</t>
        </r>
      </text>
    </comment>
    <comment ref="A335" authorId="1" shapeId="0" xr:uid="{2A1FC0FB-7167-4F0F-BD36-19A40237C4C0}">
      <text>
        <r>
          <rPr>
            <sz val="11"/>
            <color theme="1"/>
            <rFont val="Calibri"/>
            <family val="2"/>
            <scheme val="minor"/>
          </rPr>
          <t>Introducir un texto con el nombre o referencia de la contratación</t>
        </r>
      </text>
    </comment>
    <comment ref="B335" authorId="1" shapeId="0" xr:uid="{4265F979-2F7A-4DC7-A3F2-4D314E59306F}">
      <text>
        <r>
          <rPr>
            <sz val="11"/>
            <color theme="1"/>
            <rFont val="Calibri"/>
            <family val="2"/>
            <scheme val="minor"/>
          </rPr>
          <t>Introduzca un texto con la finalidad de la contratación</t>
        </r>
      </text>
    </comment>
    <comment ref="C335" authorId="1" shapeId="0" xr:uid="{F7683217-E4A7-4415-9AC3-4DD2603A4D43}">
      <text>
        <r>
          <rPr>
            <sz val="11"/>
            <color theme="1"/>
            <rFont val="Calibri"/>
            <family val="2"/>
            <scheme val="minor"/>
          </rPr>
          <t>Seleccionar un valor del listado</t>
        </r>
      </text>
    </comment>
    <comment ref="D335" authorId="1" shapeId="0" xr:uid="{3EF003BD-2485-4FCC-BBBA-271522E9F43D}">
      <text>
        <r>
          <rPr>
            <sz val="11"/>
            <color theme="1"/>
            <rFont val="Calibri"/>
            <family val="2"/>
            <scheme val="minor"/>
          </rPr>
          <t>Seleccione el tipo de procedimiento</t>
        </r>
      </text>
    </comment>
    <comment ref="E335" authorId="1" shapeId="0" xr:uid="{FD0335CF-9D03-4351-B853-BA0523F1DAD6}">
      <text>
        <r>
          <rPr>
            <sz val="11"/>
            <color theme="1"/>
            <rFont val="Calibri"/>
            <family val="2"/>
            <scheme val="minor"/>
          </rPr>
          <t>Seleccione un valor de la lista</t>
        </r>
      </text>
    </comment>
    <comment ref="F335" authorId="1" shapeId="0" xr:uid="{2940BA81-FA96-4984-B2B1-DFCF1BFDA7E5}">
      <text>
        <r>
          <rPr>
            <sz val="11"/>
            <color theme="1"/>
            <rFont val="Calibri"/>
            <family val="2"/>
            <scheme val="minor"/>
          </rPr>
          <t>Introduzca el código SNIP</t>
        </r>
      </text>
    </comment>
    <comment ref="C336" authorId="1" shapeId="0" xr:uid="{4184AC91-CB8D-41E9-8E9E-BE801224247B}">
      <text>
        <r>
          <rPr>
            <sz val="11"/>
            <color theme="1"/>
            <rFont val="Calibri"/>
            <family val="2"/>
            <scheme val="minor"/>
          </rPr>
          <t>Introduzca la fecha de inicio del proceso, en formato dd-mm-aaaa</t>
        </r>
      </text>
    </comment>
    <comment ref="F336" authorId="1" shapeId="0" xr:uid="{3C8497C9-105E-4BFE-88B1-48EEDD8CDA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xr:uid="{0DD9AF9D-12BC-4928-8786-C53D8520CFFC}">
      <text/>
    </comment>
    <comment ref="C338" authorId="1" shapeId="0" xr:uid="{815A2C10-112F-47F4-BF78-5FE5B24D5793}">
      <text>
        <r>
          <rPr>
            <sz val="11"/>
            <color theme="1"/>
            <rFont val="Calibri"/>
            <family val="2"/>
            <scheme val="minor"/>
          </rPr>
          <t>Introduzca la fecha prevista de adjudicación, en formato dd-mm-aaaa</t>
        </r>
      </text>
    </comment>
    <comment ref="F338" authorId="1" shapeId="0" xr:uid="{FAB11595-6DA0-46C5-AA75-AA676D94A564}">
      <text/>
    </comment>
    <comment ref="F339" authorId="1" shapeId="0" xr:uid="{25130C32-DEA3-4428-A8E2-02ADC1B67B05}">
      <text/>
    </comment>
    <comment ref="A341" authorId="1" shapeId="0" xr:uid="{4DDCF1DD-F530-4433-A1C9-304631077D2C}">
      <text>
        <r>
          <rPr>
            <sz val="11"/>
            <color theme="1"/>
            <rFont val="Calibri"/>
            <family val="2"/>
            <scheme val="minor"/>
          </rPr>
          <t>Introduzca un codigo UNSPSC</t>
        </r>
      </text>
    </comment>
    <comment ref="B341" authorId="1" shapeId="0" xr:uid="{B296C16E-34EB-4BFE-A1AE-17B0B6C34D75}">
      <text>
        <r>
          <rPr>
            <sz val="11"/>
            <color theme="1"/>
            <rFont val="Calibri"/>
            <family val="2"/>
            <scheme val="minor"/>
          </rPr>
          <t>Descripción calculada automáticamente a partir de código del artículo</t>
        </r>
      </text>
    </comment>
    <comment ref="C341" authorId="1" shapeId="0" xr:uid="{E9271B36-7005-42E3-BBA0-72E090D578D9}">
      <text>
        <r>
          <rPr>
            <sz val="11"/>
            <color theme="1"/>
            <rFont val="Calibri"/>
            <family val="2"/>
            <scheme val="minor"/>
          </rPr>
          <t>Seleccione un valor de la lista</t>
        </r>
      </text>
    </comment>
    <comment ref="D341" authorId="1" shapeId="0" xr:uid="{970C36CB-6FE4-449F-B0C5-482CA5347542}">
      <text>
        <r>
          <rPr>
            <sz val="11"/>
            <color theme="1"/>
            <rFont val="Calibri"/>
            <family val="2"/>
            <scheme val="minor"/>
          </rPr>
          <t>Introduzca un número con dos decimales como máximo. Debe ser igual o mayor a la "Cantidad Real Consumida"</t>
        </r>
      </text>
    </comment>
    <comment ref="E341" authorId="1" shapeId="0" xr:uid="{71331868-D09C-4BD4-9F65-0100F1ED9DD0}">
      <text>
        <r>
          <rPr>
            <sz val="11"/>
            <color theme="1"/>
            <rFont val="Calibri"/>
            <family val="2"/>
            <scheme val="minor"/>
          </rPr>
          <t>Introduzca un número con dos decimales como máximo</t>
        </r>
      </text>
    </comment>
    <comment ref="F341" authorId="1" shapeId="0" xr:uid="{B69191F8-EF31-49F7-87C8-83CA6DE71A3E}">
      <text>
        <r>
          <rPr>
            <sz val="11"/>
            <color theme="1"/>
            <rFont val="Calibri"/>
            <family val="2"/>
            <scheme val="minor"/>
          </rPr>
          <t>Monto calculado automáticamente por el sistema</t>
        </r>
      </text>
    </comment>
    <comment ref="A372" authorId="1" shapeId="0" xr:uid="{4B14D4B7-BB2E-42A7-8EAC-B469B50F78E5}">
      <text>
        <r>
          <rPr>
            <sz val="11"/>
            <color theme="1"/>
            <rFont val="Calibri"/>
            <family val="2"/>
            <scheme val="minor"/>
          </rPr>
          <t>Introducir un texto con el nombre o referencia de la contratación</t>
        </r>
      </text>
    </comment>
    <comment ref="B372" authorId="1" shapeId="0" xr:uid="{F8210325-F604-4DED-B42A-EF417D13EF68}">
      <text>
        <r>
          <rPr>
            <sz val="11"/>
            <color theme="1"/>
            <rFont val="Calibri"/>
            <family val="2"/>
            <scheme val="minor"/>
          </rPr>
          <t>Introduzca un texto con la finalidad de la contratación</t>
        </r>
      </text>
    </comment>
    <comment ref="C372" authorId="1" shapeId="0" xr:uid="{7D2EA2C2-8BB2-49E3-A1DE-AB898421B950}">
      <text>
        <r>
          <rPr>
            <sz val="11"/>
            <color theme="1"/>
            <rFont val="Calibri"/>
            <family val="2"/>
            <scheme val="minor"/>
          </rPr>
          <t>Seleccionar un valor del listado</t>
        </r>
      </text>
    </comment>
    <comment ref="D372" authorId="1" shapeId="0" xr:uid="{5BEB3285-68B8-45EE-92CF-D48C767BEC52}">
      <text>
        <r>
          <rPr>
            <sz val="11"/>
            <color theme="1"/>
            <rFont val="Calibri"/>
            <family val="2"/>
            <scheme val="minor"/>
          </rPr>
          <t>Seleccione el tipo de procedimiento</t>
        </r>
      </text>
    </comment>
    <comment ref="E372" authorId="1" shapeId="0" xr:uid="{3BECE8DC-FC4B-4734-8C68-26412F9B8281}">
      <text>
        <r>
          <rPr>
            <sz val="11"/>
            <color theme="1"/>
            <rFont val="Calibri"/>
            <family val="2"/>
            <scheme val="minor"/>
          </rPr>
          <t>Seleccione un valor de la lista</t>
        </r>
      </text>
    </comment>
    <comment ref="F372" authorId="1" shapeId="0" xr:uid="{1970546E-AB85-44AD-BE6A-6F8CADF8D589}">
      <text>
        <r>
          <rPr>
            <sz val="11"/>
            <color theme="1"/>
            <rFont val="Calibri"/>
            <family val="2"/>
            <scheme val="minor"/>
          </rPr>
          <t>Introduzca el código SNIP</t>
        </r>
      </text>
    </comment>
    <comment ref="C373" authorId="1" shapeId="0" xr:uid="{AFAEFB58-F277-4D4E-8F01-FC87143B5CB9}">
      <text>
        <r>
          <rPr>
            <sz val="11"/>
            <color theme="1"/>
            <rFont val="Calibri"/>
            <family val="2"/>
            <scheme val="minor"/>
          </rPr>
          <t>Introduzca la fecha de inicio del proceso, en formato dd-mm-aaaa</t>
        </r>
      </text>
    </comment>
    <comment ref="F373" authorId="1" shapeId="0" xr:uid="{C9E9968D-B8B5-4C6E-AF85-10B2763363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xr:uid="{29B0AE55-1A4B-4E2F-BA70-9E033D175DF0}">
      <text/>
    </comment>
    <comment ref="C375" authorId="1" shapeId="0" xr:uid="{51D67EBE-0BE3-4305-B1D6-86EB2E36A61B}">
      <text>
        <r>
          <rPr>
            <sz val="11"/>
            <color theme="1"/>
            <rFont val="Calibri"/>
            <family val="2"/>
            <scheme val="minor"/>
          </rPr>
          <t>Introduzca la fecha prevista de adjudicación, en formato dd-mm-aaaa</t>
        </r>
      </text>
    </comment>
    <comment ref="F375" authorId="1" shapeId="0" xr:uid="{DE7862BA-60D8-405C-ADE1-C49F689ACA49}">
      <text/>
    </comment>
    <comment ref="F376" authorId="1" shapeId="0" xr:uid="{B23907A0-5434-42BC-AD65-FAF3866006CB}">
      <text/>
    </comment>
    <comment ref="A378" authorId="1" shapeId="0" xr:uid="{E8D3694A-FCD6-4E5C-8A12-40E03D07CFFC}">
      <text>
        <r>
          <rPr>
            <sz val="11"/>
            <color theme="1"/>
            <rFont val="Calibri"/>
            <family val="2"/>
            <scheme val="minor"/>
          </rPr>
          <t>Introduzca un codigo UNSPSC</t>
        </r>
      </text>
    </comment>
    <comment ref="B378" authorId="1" shapeId="0" xr:uid="{B6ADFDAA-6FDF-406D-A4B6-764124678D82}">
      <text>
        <r>
          <rPr>
            <sz val="11"/>
            <color theme="1"/>
            <rFont val="Calibri"/>
            <family val="2"/>
            <scheme val="minor"/>
          </rPr>
          <t>Descripción calculada automáticamente a partir de código del artículo</t>
        </r>
      </text>
    </comment>
    <comment ref="C378" authorId="1" shapeId="0" xr:uid="{637CB5F9-6368-4C20-B14C-B2DEFD9BC380}">
      <text>
        <r>
          <rPr>
            <sz val="11"/>
            <color theme="1"/>
            <rFont val="Calibri"/>
            <family val="2"/>
            <scheme val="minor"/>
          </rPr>
          <t>Seleccione un valor de la lista</t>
        </r>
      </text>
    </comment>
    <comment ref="D378" authorId="1" shapeId="0" xr:uid="{55408AA4-0BE6-4E3E-885B-0B5EFE6A40AE}">
      <text>
        <r>
          <rPr>
            <sz val="11"/>
            <color theme="1"/>
            <rFont val="Calibri"/>
            <family val="2"/>
            <scheme val="minor"/>
          </rPr>
          <t>Introduzca un número con dos decimales como máximo. Debe ser igual o mayor a la "Cantidad Real Consumida"</t>
        </r>
      </text>
    </comment>
    <comment ref="E378" authorId="1" shapeId="0" xr:uid="{8D44944C-EEEF-4C17-9C31-8595EDB0F38C}">
      <text>
        <r>
          <rPr>
            <sz val="11"/>
            <color theme="1"/>
            <rFont val="Calibri"/>
            <family val="2"/>
            <scheme val="minor"/>
          </rPr>
          <t>Introduzca un número con dos decimales como máximo</t>
        </r>
      </text>
    </comment>
    <comment ref="F378" authorId="1" shapeId="0" xr:uid="{40E8E8F1-DCB6-4FC5-BB5B-05DBB5CF2AF7}">
      <text>
        <r>
          <rPr>
            <sz val="11"/>
            <color theme="1"/>
            <rFont val="Calibri"/>
            <family val="2"/>
            <scheme val="minor"/>
          </rPr>
          <t>Monto calculado automáticamente por el sistema</t>
        </r>
      </text>
    </comment>
    <comment ref="A384" authorId="1" shapeId="0" xr:uid="{BC5B2710-43FD-4BBF-A043-A134C5A29AE4}">
      <text>
        <r>
          <rPr>
            <sz val="11"/>
            <color theme="1"/>
            <rFont val="Calibri"/>
            <family val="2"/>
            <scheme val="minor"/>
          </rPr>
          <t>Introducir un texto con el nombre o referencia de la contratación</t>
        </r>
      </text>
    </comment>
    <comment ref="B384" authorId="1" shapeId="0" xr:uid="{712922F4-663D-405E-B7FE-E01A85727133}">
      <text>
        <r>
          <rPr>
            <sz val="11"/>
            <color theme="1"/>
            <rFont val="Calibri"/>
            <family val="2"/>
            <scheme val="minor"/>
          </rPr>
          <t>Introduzca un texto con la finalidad de la contratación</t>
        </r>
      </text>
    </comment>
    <comment ref="C384" authorId="1" shapeId="0" xr:uid="{26BC902F-D401-4ACF-B000-0354B21A0A38}">
      <text>
        <r>
          <rPr>
            <sz val="11"/>
            <color theme="1"/>
            <rFont val="Calibri"/>
            <family val="2"/>
            <scheme val="minor"/>
          </rPr>
          <t>Seleccionar un valor del listado</t>
        </r>
      </text>
    </comment>
    <comment ref="D384" authorId="1" shapeId="0" xr:uid="{8D40CDF5-E426-4D66-9BEF-073D4461AB91}">
      <text>
        <r>
          <rPr>
            <sz val="11"/>
            <color theme="1"/>
            <rFont val="Calibri"/>
            <family val="2"/>
            <scheme val="minor"/>
          </rPr>
          <t>Seleccione el tipo de procedimiento</t>
        </r>
      </text>
    </comment>
    <comment ref="E384" authorId="1" shapeId="0" xr:uid="{046379DF-5398-4B36-BC11-0EF340061903}">
      <text>
        <r>
          <rPr>
            <sz val="11"/>
            <color theme="1"/>
            <rFont val="Calibri"/>
            <family val="2"/>
            <scheme val="minor"/>
          </rPr>
          <t>Seleccione un valor de la lista</t>
        </r>
      </text>
    </comment>
    <comment ref="F384" authorId="1" shapeId="0" xr:uid="{4054704A-C8F0-46EB-82AF-538B5090913E}">
      <text>
        <r>
          <rPr>
            <sz val="11"/>
            <color theme="1"/>
            <rFont val="Calibri"/>
            <family val="2"/>
            <scheme val="minor"/>
          </rPr>
          <t>Introduzca el código SNIP</t>
        </r>
      </text>
    </comment>
    <comment ref="C385" authorId="1" shapeId="0" xr:uid="{ABAFF8DE-57DD-49F1-9E95-1CB2FB807B31}">
      <text>
        <r>
          <rPr>
            <sz val="11"/>
            <color theme="1"/>
            <rFont val="Calibri"/>
            <family val="2"/>
            <scheme val="minor"/>
          </rPr>
          <t>Introduzca la fecha de inicio del proceso, en formato dd-mm-aaaa</t>
        </r>
      </text>
    </comment>
    <comment ref="F385" authorId="1" shapeId="0" xr:uid="{054F836E-4B39-436C-B0C5-FBF7BC6C7B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1" shapeId="0" xr:uid="{D8AF5619-AB33-4B1D-8A8B-1B3752D60CD2}">
      <text/>
    </comment>
    <comment ref="C387" authorId="1" shapeId="0" xr:uid="{3831A02E-911F-423D-BE58-E45EF6354D51}">
      <text>
        <r>
          <rPr>
            <sz val="11"/>
            <color theme="1"/>
            <rFont val="Calibri"/>
            <family val="2"/>
            <scheme val="minor"/>
          </rPr>
          <t>Introduzca la fecha prevista de adjudicación, en formato dd-mm-aaaa</t>
        </r>
      </text>
    </comment>
    <comment ref="F387" authorId="1" shapeId="0" xr:uid="{0FD76EC1-8BEB-4C90-A624-85B017E47F95}">
      <text/>
    </comment>
    <comment ref="F388" authorId="1" shapeId="0" xr:uid="{DEB5658E-7549-43A2-A32A-E0A75BC32FE6}">
      <text/>
    </comment>
    <comment ref="A390" authorId="1" shapeId="0" xr:uid="{BAD6DD3F-5278-4A8A-85FD-BAFFB8B2A970}">
      <text>
        <r>
          <rPr>
            <sz val="11"/>
            <color theme="1"/>
            <rFont val="Calibri"/>
            <family val="2"/>
            <scheme val="minor"/>
          </rPr>
          <t>Introduzca un codigo UNSPSC</t>
        </r>
      </text>
    </comment>
    <comment ref="B390" authorId="1" shapeId="0" xr:uid="{60602FBB-F8D2-46D7-9585-89C80FCCA8F4}">
      <text>
        <r>
          <rPr>
            <sz val="11"/>
            <color theme="1"/>
            <rFont val="Calibri"/>
            <family val="2"/>
            <scheme val="minor"/>
          </rPr>
          <t>Descripción calculada automáticamente a partir de código del artículo</t>
        </r>
      </text>
    </comment>
    <comment ref="C390" authorId="1" shapeId="0" xr:uid="{681538A5-9B09-42D1-A3FF-2868FDBA7870}">
      <text>
        <r>
          <rPr>
            <sz val="11"/>
            <color theme="1"/>
            <rFont val="Calibri"/>
            <family val="2"/>
            <scheme val="minor"/>
          </rPr>
          <t>Seleccione un valor de la lista</t>
        </r>
      </text>
    </comment>
    <comment ref="D390" authorId="1" shapeId="0" xr:uid="{8B2A1D2E-AFD4-49EC-88F2-AC2A9DCC7448}">
      <text>
        <r>
          <rPr>
            <sz val="11"/>
            <color theme="1"/>
            <rFont val="Calibri"/>
            <family val="2"/>
            <scheme val="minor"/>
          </rPr>
          <t>Introduzca un número con dos decimales como máximo. Debe ser igual o mayor a la "Cantidad Real Consumida"</t>
        </r>
      </text>
    </comment>
    <comment ref="E390" authorId="1" shapeId="0" xr:uid="{D2D3A8B9-05C6-4546-9FE6-57EA359A2F8A}">
      <text>
        <r>
          <rPr>
            <sz val="11"/>
            <color theme="1"/>
            <rFont val="Calibri"/>
            <family val="2"/>
            <scheme val="minor"/>
          </rPr>
          <t>Introduzca un número con dos decimales como máximo</t>
        </r>
      </text>
    </comment>
    <comment ref="F390" authorId="1" shapeId="0" xr:uid="{1D5A0BEF-D980-4C94-B2AF-87BB0B715B6F}">
      <text>
        <r>
          <rPr>
            <sz val="11"/>
            <color theme="1"/>
            <rFont val="Calibri"/>
            <family val="2"/>
            <scheme val="minor"/>
          </rPr>
          <t>Monto calculado automáticamente por el sistema</t>
        </r>
      </text>
    </comment>
    <comment ref="A396" authorId="1" shapeId="0" xr:uid="{7FB64488-C789-4000-B426-F11CDA0FD1AD}">
      <text>
        <r>
          <rPr>
            <sz val="11"/>
            <color theme="1"/>
            <rFont val="Calibri"/>
            <family val="2"/>
            <scheme val="minor"/>
          </rPr>
          <t>Introducir un texto con el nombre o referencia de la contratación</t>
        </r>
      </text>
    </comment>
    <comment ref="B396" authorId="1" shapeId="0" xr:uid="{DBEECE4C-4CE3-4D52-B0F2-27498B6BCCEB}">
      <text>
        <r>
          <rPr>
            <sz val="11"/>
            <color theme="1"/>
            <rFont val="Calibri"/>
            <family val="2"/>
            <scheme val="minor"/>
          </rPr>
          <t>Introduzca un texto con la finalidad de la contratación</t>
        </r>
      </text>
    </comment>
    <comment ref="C396" authorId="1" shapeId="0" xr:uid="{37F79CA4-ABE4-446C-AC7F-5120B8597A09}">
      <text>
        <r>
          <rPr>
            <sz val="11"/>
            <color theme="1"/>
            <rFont val="Calibri"/>
            <family val="2"/>
            <scheme val="minor"/>
          </rPr>
          <t>Seleccionar un valor del listado</t>
        </r>
      </text>
    </comment>
    <comment ref="D396" authorId="1" shapeId="0" xr:uid="{3C970EDA-7004-4867-B788-C64EE1801CB7}">
      <text>
        <r>
          <rPr>
            <sz val="11"/>
            <color theme="1"/>
            <rFont val="Calibri"/>
            <family val="2"/>
            <scheme val="minor"/>
          </rPr>
          <t>Seleccione el tipo de procedimiento</t>
        </r>
      </text>
    </comment>
    <comment ref="E396" authorId="1" shapeId="0" xr:uid="{9BDFB318-9FC7-4F49-A4D2-8E3C0D7B625E}">
      <text>
        <r>
          <rPr>
            <sz val="11"/>
            <color theme="1"/>
            <rFont val="Calibri"/>
            <family val="2"/>
            <scheme val="minor"/>
          </rPr>
          <t>Seleccione un valor de la lista</t>
        </r>
      </text>
    </comment>
    <comment ref="F396" authorId="1" shapeId="0" xr:uid="{B9E711D1-BF73-45E5-9257-D3B313799259}">
      <text>
        <r>
          <rPr>
            <sz val="11"/>
            <color theme="1"/>
            <rFont val="Calibri"/>
            <family val="2"/>
            <scheme val="minor"/>
          </rPr>
          <t>Introduzca el código SNIP</t>
        </r>
      </text>
    </comment>
    <comment ref="C397" authorId="1" shapeId="0" xr:uid="{59CB2C83-BAA1-44F3-92CE-E1A358ADF981}">
      <text>
        <r>
          <rPr>
            <sz val="11"/>
            <color theme="1"/>
            <rFont val="Calibri"/>
            <family val="2"/>
            <scheme val="minor"/>
          </rPr>
          <t>Introduzca la fecha de inicio del proceso, en formato dd-mm-aaaa</t>
        </r>
      </text>
    </comment>
    <comment ref="F397" authorId="1" shapeId="0" xr:uid="{32A3D248-2D57-49F4-AF22-124562D4A3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1" shapeId="0" xr:uid="{57656C5C-F7DD-4FB4-95D1-219E1E897487}">
      <text/>
    </comment>
    <comment ref="C399" authorId="1" shapeId="0" xr:uid="{3982C0F7-EDAC-4424-A6CE-26C5BD8F9EBB}">
      <text>
        <r>
          <rPr>
            <sz val="11"/>
            <color theme="1"/>
            <rFont val="Calibri"/>
            <family val="2"/>
            <scheme val="minor"/>
          </rPr>
          <t>Introduzca la fecha prevista de adjudicación, en formato dd-mm-aaaa</t>
        </r>
      </text>
    </comment>
    <comment ref="F399" authorId="1" shapeId="0" xr:uid="{9A3B3BB5-D413-48C3-B8EB-4BCC26666EA0}">
      <text/>
    </comment>
    <comment ref="F400" authorId="1" shapeId="0" xr:uid="{F78B397B-1604-4159-8881-5EDD17BB700C}">
      <text/>
    </comment>
    <comment ref="A402" authorId="1" shapeId="0" xr:uid="{8E423A49-1F72-4576-91DC-6EF6C55E3970}">
      <text>
        <r>
          <rPr>
            <sz val="11"/>
            <color theme="1"/>
            <rFont val="Calibri"/>
            <family val="2"/>
            <scheme val="minor"/>
          </rPr>
          <t>Introduzca un codigo UNSPSC</t>
        </r>
      </text>
    </comment>
    <comment ref="B402" authorId="1" shapeId="0" xr:uid="{42709939-9F0F-491C-9889-16BA45F19AAC}">
      <text>
        <r>
          <rPr>
            <sz val="11"/>
            <color theme="1"/>
            <rFont val="Calibri"/>
            <family val="2"/>
            <scheme val="minor"/>
          </rPr>
          <t>Descripción calculada automáticamente a partir de código del artículo</t>
        </r>
      </text>
    </comment>
    <comment ref="C402" authorId="1" shapeId="0" xr:uid="{499D7A71-1C35-4AE3-982E-62D0F29E5D42}">
      <text>
        <r>
          <rPr>
            <sz val="11"/>
            <color theme="1"/>
            <rFont val="Calibri"/>
            <family val="2"/>
            <scheme val="minor"/>
          </rPr>
          <t>Seleccione un valor de la lista</t>
        </r>
      </text>
    </comment>
    <comment ref="D402" authorId="1" shapeId="0" xr:uid="{6B471DCA-2EE8-4548-82D5-88A16E03A42C}">
      <text>
        <r>
          <rPr>
            <sz val="11"/>
            <color theme="1"/>
            <rFont val="Calibri"/>
            <family val="2"/>
            <scheme val="minor"/>
          </rPr>
          <t>Introduzca un número con dos decimales como máximo. Debe ser igual o mayor a la "Cantidad Real Consumida"</t>
        </r>
      </text>
    </comment>
    <comment ref="E402" authorId="1" shapeId="0" xr:uid="{4DCEDF62-E406-4F6B-9C9E-73657F80C76D}">
      <text>
        <r>
          <rPr>
            <sz val="11"/>
            <color theme="1"/>
            <rFont val="Calibri"/>
            <family val="2"/>
            <scheme val="minor"/>
          </rPr>
          <t>Introduzca un número con dos decimales como máximo</t>
        </r>
      </text>
    </comment>
    <comment ref="F402" authorId="1" shapeId="0" xr:uid="{3B7DCEFF-603C-442C-8FE2-7D44C9FDBCC3}">
      <text>
        <r>
          <rPr>
            <sz val="11"/>
            <color theme="1"/>
            <rFont val="Calibri"/>
            <family val="2"/>
            <scheme val="minor"/>
          </rPr>
          <t>Monto calculado automáticamente por el sistema</t>
        </r>
      </text>
    </comment>
    <comment ref="A411" authorId="1" shapeId="0" xr:uid="{C53EBA52-6ACC-44FC-B905-22510E4E0521}">
      <text>
        <r>
          <rPr>
            <sz val="11"/>
            <color theme="1"/>
            <rFont val="Calibri"/>
            <family val="2"/>
            <scheme val="minor"/>
          </rPr>
          <t>Introducir un texto con el nombre o referencia de la contratación</t>
        </r>
      </text>
    </comment>
    <comment ref="B411" authorId="1" shapeId="0" xr:uid="{78F95C42-D272-4BC4-BAF2-F5FB02B709AB}">
      <text>
        <r>
          <rPr>
            <sz val="11"/>
            <color theme="1"/>
            <rFont val="Calibri"/>
            <family val="2"/>
            <scheme val="minor"/>
          </rPr>
          <t>Introduzca un texto con la finalidad de la contratación</t>
        </r>
      </text>
    </comment>
    <comment ref="C411" authorId="1" shapeId="0" xr:uid="{C164830E-8A1A-4B53-A979-8EB5D69E9F52}">
      <text>
        <r>
          <rPr>
            <sz val="11"/>
            <color theme="1"/>
            <rFont val="Calibri"/>
            <family val="2"/>
            <scheme val="minor"/>
          </rPr>
          <t>Seleccionar un valor del listado</t>
        </r>
      </text>
    </comment>
    <comment ref="D411" authorId="1" shapeId="0" xr:uid="{AC28D8D3-E6C2-4B73-BB8B-31EA1976A498}">
      <text>
        <r>
          <rPr>
            <sz val="11"/>
            <color theme="1"/>
            <rFont val="Calibri"/>
            <family val="2"/>
            <scheme val="minor"/>
          </rPr>
          <t>Seleccione el tipo de procedimiento</t>
        </r>
      </text>
    </comment>
    <comment ref="E411" authorId="1" shapeId="0" xr:uid="{14485FC4-A473-4E82-8930-E9E99A7272F3}">
      <text>
        <r>
          <rPr>
            <sz val="11"/>
            <color theme="1"/>
            <rFont val="Calibri"/>
            <family val="2"/>
            <scheme val="minor"/>
          </rPr>
          <t>Seleccione un valor de la lista</t>
        </r>
      </text>
    </comment>
    <comment ref="F411" authorId="1" shapeId="0" xr:uid="{D70FD4F8-3555-4AC6-A571-67B33BA94CC8}">
      <text>
        <r>
          <rPr>
            <sz val="11"/>
            <color theme="1"/>
            <rFont val="Calibri"/>
            <family val="2"/>
            <scheme val="minor"/>
          </rPr>
          <t>Introduzca el código SNIP</t>
        </r>
      </text>
    </comment>
    <comment ref="C412" authorId="1" shapeId="0" xr:uid="{7F99AA0C-035C-422C-A811-A70F013D2A21}">
      <text>
        <r>
          <rPr>
            <sz val="11"/>
            <color theme="1"/>
            <rFont val="Calibri"/>
            <family val="2"/>
            <scheme val="minor"/>
          </rPr>
          <t>Introduzca la fecha de inicio del proceso, en formato dd-mm-aaaa</t>
        </r>
      </text>
    </comment>
    <comment ref="F412" authorId="1" shapeId="0" xr:uid="{B860FAB2-E280-4447-A00F-259B5D30DF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1" shapeId="0" xr:uid="{51C41856-30F4-4984-B700-2BC89154A44E}">
      <text/>
    </comment>
    <comment ref="C414" authorId="1" shapeId="0" xr:uid="{82DB2BEA-95D6-4B04-B15A-9CC1B23927EF}">
      <text>
        <r>
          <rPr>
            <sz val="11"/>
            <color theme="1"/>
            <rFont val="Calibri"/>
            <family val="2"/>
            <scheme val="minor"/>
          </rPr>
          <t>Introduzca la fecha prevista de adjudicación, en formato dd-mm-aaaa</t>
        </r>
      </text>
    </comment>
    <comment ref="F414" authorId="1" shapeId="0" xr:uid="{12BE2E84-C582-4EEF-87B1-1488FD995198}">
      <text/>
    </comment>
    <comment ref="F415" authorId="1" shapeId="0" xr:uid="{FA91683F-57A4-4EE7-8351-4B4B88BA10C0}">
      <text/>
    </comment>
    <comment ref="A417" authorId="1" shapeId="0" xr:uid="{1E1C0E3B-BF89-47DD-87F5-64C7DAA006A5}">
      <text>
        <r>
          <rPr>
            <sz val="11"/>
            <color theme="1"/>
            <rFont val="Calibri"/>
            <family val="2"/>
            <scheme val="minor"/>
          </rPr>
          <t>Introduzca un codigo UNSPSC</t>
        </r>
      </text>
    </comment>
    <comment ref="B417" authorId="1" shapeId="0" xr:uid="{4D5D5D49-A219-4929-99EA-D0D260E83E99}">
      <text>
        <r>
          <rPr>
            <sz val="11"/>
            <color theme="1"/>
            <rFont val="Calibri"/>
            <family val="2"/>
            <scheme val="minor"/>
          </rPr>
          <t>Descripción calculada automáticamente a partir de código del artículo</t>
        </r>
      </text>
    </comment>
    <comment ref="C417" authorId="1" shapeId="0" xr:uid="{A136AEA7-7610-4668-8BA9-A25C73EDBAB3}">
      <text>
        <r>
          <rPr>
            <sz val="11"/>
            <color theme="1"/>
            <rFont val="Calibri"/>
            <family val="2"/>
            <scheme val="minor"/>
          </rPr>
          <t>Seleccione un valor de la lista</t>
        </r>
      </text>
    </comment>
    <comment ref="D417" authorId="1" shapeId="0" xr:uid="{EFEB7B72-E1FC-40E8-8CE6-4BED190721C7}">
      <text>
        <r>
          <rPr>
            <sz val="11"/>
            <color theme="1"/>
            <rFont val="Calibri"/>
            <family val="2"/>
            <scheme val="minor"/>
          </rPr>
          <t>Introduzca un número con dos decimales como máximo. Debe ser igual o mayor a la "Cantidad Real Consumida"</t>
        </r>
      </text>
    </comment>
    <comment ref="E417" authorId="1" shapeId="0" xr:uid="{A20FE363-0D78-436D-99D9-007CDCC8B4E1}">
      <text>
        <r>
          <rPr>
            <sz val="11"/>
            <color theme="1"/>
            <rFont val="Calibri"/>
            <family val="2"/>
            <scheme val="minor"/>
          </rPr>
          <t>Introduzca un número con dos decimales como máximo</t>
        </r>
      </text>
    </comment>
    <comment ref="F417" authorId="1" shapeId="0" xr:uid="{AFF213E0-E71E-4FCD-AE64-61353E54FAB1}">
      <text>
        <r>
          <rPr>
            <sz val="11"/>
            <color theme="1"/>
            <rFont val="Calibri"/>
            <family val="2"/>
            <scheme val="minor"/>
          </rPr>
          <t>Monto calculado automáticamente por el sistema</t>
        </r>
      </text>
    </comment>
    <comment ref="A424" authorId="1" shapeId="0" xr:uid="{18C847B5-BC0C-477C-B001-9D1C76FEF240}">
      <text>
        <r>
          <rPr>
            <sz val="11"/>
            <color theme="1"/>
            <rFont val="Calibri"/>
            <family val="2"/>
            <scheme val="minor"/>
          </rPr>
          <t>Introducir un texto con el nombre o referencia de la contratación</t>
        </r>
      </text>
    </comment>
    <comment ref="B424" authorId="1" shapeId="0" xr:uid="{D355FBBF-010D-4798-BE7B-97FFF31AC3AA}">
      <text>
        <r>
          <rPr>
            <sz val="11"/>
            <color theme="1"/>
            <rFont val="Calibri"/>
            <family val="2"/>
            <scheme val="minor"/>
          </rPr>
          <t>Introduzca un texto con la finalidad de la contratación</t>
        </r>
      </text>
    </comment>
    <comment ref="C424" authorId="1" shapeId="0" xr:uid="{A4D7A6BA-6A86-4039-831F-8653024732E4}">
      <text>
        <r>
          <rPr>
            <sz val="11"/>
            <color theme="1"/>
            <rFont val="Calibri"/>
            <family val="2"/>
            <scheme val="minor"/>
          </rPr>
          <t>Seleccionar un valor del listado</t>
        </r>
      </text>
    </comment>
    <comment ref="D424" authorId="1" shapeId="0" xr:uid="{671CD86A-9DB1-49FB-B084-E3642159807B}">
      <text>
        <r>
          <rPr>
            <sz val="11"/>
            <color theme="1"/>
            <rFont val="Calibri"/>
            <family val="2"/>
            <scheme val="minor"/>
          </rPr>
          <t>Seleccione el tipo de procedimiento</t>
        </r>
      </text>
    </comment>
    <comment ref="E424" authorId="1" shapeId="0" xr:uid="{195AAB62-D7A4-40ED-8222-295F7F1A35F7}">
      <text>
        <r>
          <rPr>
            <sz val="11"/>
            <color theme="1"/>
            <rFont val="Calibri"/>
            <family val="2"/>
            <scheme val="minor"/>
          </rPr>
          <t>Seleccione un valor de la lista</t>
        </r>
      </text>
    </comment>
    <comment ref="F424" authorId="1" shapeId="0" xr:uid="{2D6BA8F6-3CA8-428E-87D0-2FD6F7C78FE1}">
      <text>
        <r>
          <rPr>
            <sz val="11"/>
            <color theme="1"/>
            <rFont val="Calibri"/>
            <family val="2"/>
            <scheme val="minor"/>
          </rPr>
          <t>Introduzca el código SNIP</t>
        </r>
      </text>
    </comment>
    <comment ref="C425" authorId="1" shapeId="0" xr:uid="{AB12DD3C-B02A-49C6-8BC8-B2BFFB326C62}">
      <text>
        <r>
          <rPr>
            <sz val="11"/>
            <color theme="1"/>
            <rFont val="Calibri"/>
            <family val="2"/>
            <scheme val="minor"/>
          </rPr>
          <t>Introduzca la fecha de inicio del proceso, en formato dd-mm-aaaa</t>
        </r>
      </text>
    </comment>
    <comment ref="F425" authorId="1" shapeId="0" xr:uid="{69C5D9C7-89E0-4E05-BA8F-E9285DFACD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139233B5-EAF5-4CD0-9136-58571E324EF8}">
      <text/>
    </comment>
    <comment ref="C427" authorId="1" shapeId="0" xr:uid="{7DAC0443-EA95-4381-AFF4-3E18493D7BF8}">
      <text>
        <r>
          <rPr>
            <sz val="11"/>
            <color theme="1"/>
            <rFont val="Calibri"/>
            <family val="2"/>
            <scheme val="minor"/>
          </rPr>
          <t>Introduzca la fecha prevista de adjudicación, en formato dd-mm-aaaa</t>
        </r>
      </text>
    </comment>
    <comment ref="F427" authorId="1" shapeId="0" xr:uid="{B85D2AE3-AA8C-4483-92CB-21E5FC88D618}">
      <text/>
    </comment>
    <comment ref="F428" authorId="1" shapeId="0" xr:uid="{1595C277-47B0-40E8-8D65-69EAE568A1F1}">
      <text/>
    </comment>
    <comment ref="A430" authorId="1" shapeId="0" xr:uid="{B6BFF63A-6795-41EB-9011-90444F9C4571}">
      <text>
        <r>
          <rPr>
            <sz val="11"/>
            <color theme="1"/>
            <rFont val="Calibri"/>
            <family val="2"/>
            <scheme val="minor"/>
          </rPr>
          <t>Introduzca un codigo UNSPSC</t>
        </r>
      </text>
    </comment>
    <comment ref="B430" authorId="1" shapeId="0" xr:uid="{A6F1C682-B784-4169-A62A-E535779F0184}">
      <text>
        <r>
          <rPr>
            <sz val="11"/>
            <color theme="1"/>
            <rFont val="Calibri"/>
            <family val="2"/>
            <scheme val="minor"/>
          </rPr>
          <t>Descripción calculada automáticamente a partir de código del artículo</t>
        </r>
      </text>
    </comment>
    <comment ref="C430" authorId="1" shapeId="0" xr:uid="{5227AF81-2C2A-4CB5-9284-853AD4127998}">
      <text>
        <r>
          <rPr>
            <sz val="11"/>
            <color theme="1"/>
            <rFont val="Calibri"/>
            <family val="2"/>
            <scheme val="minor"/>
          </rPr>
          <t>Seleccione un valor de la lista</t>
        </r>
      </text>
    </comment>
    <comment ref="D430" authorId="1" shapeId="0" xr:uid="{489ECAE6-CBD4-4E89-A420-1BD418346D53}">
      <text>
        <r>
          <rPr>
            <sz val="11"/>
            <color theme="1"/>
            <rFont val="Calibri"/>
            <family val="2"/>
            <scheme val="minor"/>
          </rPr>
          <t>Introduzca un número con dos decimales como máximo. Debe ser igual o mayor a la "Cantidad Real Consumida"</t>
        </r>
      </text>
    </comment>
    <comment ref="E430" authorId="1" shapeId="0" xr:uid="{42438255-857E-4D58-A35C-C6CE32F99B79}">
      <text>
        <r>
          <rPr>
            <sz val="11"/>
            <color theme="1"/>
            <rFont val="Calibri"/>
            <family val="2"/>
            <scheme val="minor"/>
          </rPr>
          <t>Introduzca un número con dos decimales como máximo</t>
        </r>
      </text>
    </comment>
    <comment ref="F430" authorId="1" shapeId="0" xr:uid="{DFF4D2E8-5E22-4B0A-98B0-62D23CC702EF}">
      <text>
        <r>
          <rPr>
            <sz val="11"/>
            <color theme="1"/>
            <rFont val="Calibri"/>
            <family val="2"/>
            <scheme val="minor"/>
          </rPr>
          <t>Monto calculado automáticamente por el sistema</t>
        </r>
      </text>
    </comment>
    <comment ref="A435" authorId="1" shapeId="0" xr:uid="{B78A2DC2-1F4C-4790-9D89-0C39E738E5E3}">
      <text>
        <r>
          <rPr>
            <sz val="11"/>
            <color theme="1"/>
            <rFont val="Calibri"/>
            <family val="2"/>
            <scheme val="minor"/>
          </rPr>
          <t>Introducir un texto con el nombre o referencia de la contratación</t>
        </r>
      </text>
    </comment>
    <comment ref="B435" authorId="1" shapeId="0" xr:uid="{DED94D4B-950D-4EA8-81AE-CFF2BDDAEA33}">
      <text>
        <r>
          <rPr>
            <sz val="11"/>
            <color theme="1"/>
            <rFont val="Calibri"/>
            <family val="2"/>
            <scheme val="minor"/>
          </rPr>
          <t>Introduzca un texto con la finalidad de la contratación</t>
        </r>
      </text>
    </comment>
    <comment ref="C435" authorId="1" shapeId="0" xr:uid="{A67592BD-01D5-4018-B174-B536AC060D2C}">
      <text>
        <r>
          <rPr>
            <sz val="11"/>
            <color theme="1"/>
            <rFont val="Calibri"/>
            <family val="2"/>
            <scheme val="minor"/>
          </rPr>
          <t>Seleccionar un valor del listado</t>
        </r>
      </text>
    </comment>
    <comment ref="D435" authorId="1" shapeId="0" xr:uid="{4CA4C25A-F3CB-43F1-930E-6629F20CDAEC}">
      <text>
        <r>
          <rPr>
            <sz val="11"/>
            <color theme="1"/>
            <rFont val="Calibri"/>
            <family val="2"/>
            <scheme val="minor"/>
          </rPr>
          <t>Seleccione el tipo de procedimiento</t>
        </r>
      </text>
    </comment>
    <comment ref="E435" authorId="1" shapeId="0" xr:uid="{DCEB1B09-2EF5-443D-AD98-3CB74BDFA731}">
      <text>
        <r>
          <rPr>
            <sz val="11"/>
            <color theme="1"/>
            <rFont val="Calibri"/>
            <family val="2"/>
            <scheme val="minor"/>
          </rPr>
          <t>Seleccione un valor de la lista</t>
        </r>
      </text>
    </comment>
    <comment ref="F435" authorId="1" shapeId="0" xr:uid="{B2A46A3A-91E3-4FC5-AE9A-DA0A4C25B481}">
      <text>
        <r>
          <rPr>
            <sz val="11"/>
            <color theme="1"/>
            <rFont val="Calibri"/>
            <family val="2"/>
            <scheme val="minor"/>
          </rPr>
          <t>Introduzca el código SNIP</t>
        </r>
      </text>
    </comment>
    <comment ref="C436" authorId="1" shapeId="0" xr:uid="{DA928E97-F85E-402D-9728-3B31729A9C8D}">
      <text>
        <r>
          <rPr>
            <sz val="11"/>
            <color theme="1"/>
            <rFont val="Calibri"/>
            <family val="2"/>
            <scheme val="minor"/>
          </rPr>
          <t>Introduzca la fecha de inicio del proceso, en formato dd-mm-aaaa</t>
        </r>
      </text>
    </comment>
    <comment ref="F436" authorId="1" shapeId="0" xr:uid="{CEC504FD-01D5-4049-80C0-8138824498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FF932A5E-86E6-4545-9568-5E6BE8B17BC1}">
      <text/>
    </comment>
    <comment ref="C438" authorId="1" shapeId="0" xr:uid="{B7C4446B-886A-401E-9BE4-5E4E31A1962D}">
      <text>
        <r>
          <rPr>
            <sz val="11"/>
            <color theme="1"/>
            <rFont val="Calibri"/>
            <family val="2"/>
            <scheme val="minor"/>
          </rPr>
          <t>Introduzca la fecha prevista de adjudicación, en formato dd-mm-aaaa</t>
        </r>
      </text>
    </comment>
    <comment ref="F438" authorId="1" shapeId="0" xr:uid="{5E2CBC80-CA3A-4A79-B67B-EFD3C43BBFAE}">
      <text/>
    </comment>
    <comment ref="F439" authorId="1" shapeId="0" xr:uid="{067C281E-A437-415E-8B3F-20A183183EBF}">
      <text/>
    </comment>
    <comment ref="A441" authorId="1" shapeId="0" xr:uid="{9E289219-CB4C-40EF-96BB-69A290715A40}">
      <text>
        <r>
          <rPr>
            <sz val="11"/>
            <color theme="1"/>
            <rFont val="Calibri"/>
            <family val="2"/>
            <scheme val="minor"/>
          </rPr>
          <t>Introduzca un codigo UNSPSC</t>
        </r>
      </text>
    </comment>
    <comment ref="B441" authorId="1" shapeId="0" xr:uid="{148A6A38-E0E7-40BA-801F-820A20C3CB83}">
      <text>
        <r>
          <rPr>
            <sz val="11"/>
            <color theme="1"/>
            <rFont val="Calibri"/>
            <family val="2"/>
            <scheme val="minor"/>
          </rPr>
          <t>Descripción calculada automáticamente a partir de código del artículo</t>
        </r>
      </text>
    </comment>
    <comment ref="C441" authorId="1" shapeId="0" xr:uid="{2045D4BE-73BE-4F61-BE1E-8800FBCC263D}">
      <text>
        <r>
          <rPr>
            <sz val="11"/>
            <color theme="1"/>
            <rFont val="Calibri"/>
            <family val="2"/>
            <scheme val="minor"/>
          </rPr>
          <t>Seleccione un valor de la lista</t>
        </r>
      </text>
    </comment>
    <comment ref="D441" authorId="1" shapeId="0" xr:uid="{10043FF5-4645-400F-A9B7-240722D90435}">
      <text>
        <r>
          <rPr>
            <sz val="11"/>
            <color theme="1"/>
            <rFont val="Calibri"/>
            <family val="2"/>
            <scheme val="minor"/>
          </rPr>
          <t>Introduzca un número con dos decimales como máximo. Debe ser igual o mayor a la "Cantidad Real Consumida"</t>
        </r>
      </text>
    </comment>
    <comment ref="E441" authorId="1" shapeId="0" xr:uid="{053D0547-FD18-454A-B985-C0B5CED24CDE}">
      <text>
        <r>
          <rPr>
            <sz val="11"/>
            <color theme="1"/>
            <rFont val="Calibri"/>
            <family val="2"/>
            <scheme val="minor"/>
          </rPr>
          <t>Introduzca un número con dos decimales como máximo</t>
        </r>
      </text>
    </comment>
    <comment ref="F441" authorId="1" shapeId="0" xr:uid="{BA6B3022-384C-4310-ACB4-C00EBE6114E1}">
      <text>
        <r>
          <rPr>
            <sz val="11"/>
            <color theme="1"/>
            <rFont val="Calibri"/>
            <family val="2"/>
            <scheme val="minor"/>
          </rPr>
          <t>Monto calculado automáticamente por el sistema</t>
        </r>
      </text>
    </comment>
    <comment ref="A453" authorId="1" shapeId="0" xr:uid="{F15D313C-4051-4B7B-8260-47A489404218}">
      <text>
        <r>
          <rPr>
            <sz val="11"/>
            <color theme="1"/>
            <rFont val="Calibri"/>
            <family val="2"/>
            <scheme val="minor"/>
          </rPr>
          <t>Introducir un texto con el nombre o referencia de la contratación</t>
        </r>
      </text>
    </comment>
    <comment ref="B453" authorId="1" shapeId="0" xr:uid="{ADBEC83F-8AA0-4759-AEDC-0875C8A8D5C0}">
      <text>
        <r>
          <rPr>
            <sz val="11"/>
            <color theme="1"/>
            <rFont val="Calibri"/>
            <family val="2"/>
            <scheme val="minor"/>
          </rPr>
          <t>Introduzca un texto con la finalidad de la contratación</t>
        </r>
      </text>
    </comment>
    <comment ref="C453" authorId="1" shapeId="0" xr:uid="{BF3666B4-A87F-42C9-BB8A-2DAAA2D5DD85}">
      <text>
        <r>
          <rPr>
            <sz val="11"/>
            <color theme="1"/>
            <rFont val="Calibri"/>
            <family val="2"/>
            <scheme val="minor"/>
          </rPr>
          <t>Seleccionar un valor del listado</t>
        </r>
      </text>
    </comment>
    <comment ref="D453" authorId="1" shapeId="0" xr:uid="{0D90A80B-558C-4215-9817-40478971597D}">
      <text>
        <r>
          <rPr>
            <sz val="11"/>
            <color theme="1"/>
            <rFont val="Calibri"/>
            <family val="2"/>
            <scheme val="minor"/>
          </rPr>
          <t>Seleccione el tipo de procedimiento</t>
        </r>
      </text>
    </comment>
    <comment ref="E453" authorId="1" shapeId="0" xr:uid="{27100CCA-6271-4061-90F9-468ECFB9916E}">
      <text>
        <r>
          <rPr>
            <sz val="11"/>
            <color theme="1"/>
            <rFont val="Calibri"/>
            <family val="2"/>
            <scheme val="minor"/>
          </rPr>
          <t>Seleccione un valor de la lista</t>
        </r>
      </text>
    </comment>
    <comment ref="F453" authorId="1" shapeId="0" xr:uid="{A5FEF949-0D43-4611-8C53-B3C7E489EF06}">
      <text>
        <r>
          <rPr>
            <sz val="11"/>
            <color theme="1"/>
            <rFont val="Calibri"/>
            <family val="2"/>
            <scheme val="minor"/>
          </rPr>
          <t>Introduzca el código SNIP</t>
        </r>
      </text>
    </comment>
    <comment ref="C454" authorId="1" shapeId="0" xr:uid="{53493B3B-3559-450C-9A2B-7E74157AAD0B}">
      <text>
        <r>
          <rPr>
            <sz val="11"/>
            <color theme="1"/>
            <rFont val="Calibri"/>
            <family val="2"/>
            <scheme val="minor"/>
          </rPr>
          <t>Introduzca la fecha de inicio del proceso, en formato dd-mm-aaaa</t>
        </r>
      </text>
    </comment>
    <comment ref="F454" authorId="1" shapeId="0" xr:uid="{E0DBCB1C-CAA7-440E-8BF2-B8A818FCFA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shapeId="0" xr:uid="{36E0D57C-A9E1-494C-88C7-1F04F0FD1CA5}">
      <text/>
    </comment>
    <comment ref="C456" authorId="1" shapeId="0" xr:uid="{6BC0D1DA-AFEB-49BC-9044-B2752AFAA20E}">
      <text>
        <r>
          <rPr>
            <sz val="11"/>
            <color theme="1"/>
            <rFont val="Calibri"/>
            <family val="2"/>
            <scheme val="minor"/>
          </rPr>
          <t>Introduzca la fecha prevista de adjudicación, en formato dd-mm-aaaa</t>
        </r>
      </text>
    </comment>
    <comment ref="F456" authorId="1" shapeId="0" xr:uid="{20220C84-6013-4B72-BB2C-26BF6F74FE1D}">
      <text/>
    </comment>
    <comment ref="F457" authorId="1" shapeId="0" xr:uid="{F05D22E3-6C8C-402F-8E9C-E8B889E2C839}">
      <text/>
    </comment>
    <comment ref="A459" authorId="1" shapeId="0" xr:uid="{DF07EA3D-212C-4139-9744-05A665752A5C}">
      <text>
        <r>
          <rPr>
            <sz val="11"/>
            <color theme="1"/>
            <rFont val="Calibri"/>
            <family val="2"/>
            <scheme val="minor"/>
          </rPr>
          <t>Introduzca un codigo UNSPSC</t>
        </r>
      </text>
    </comment>
    <comment ref="B459" authorId="1" shapeId="0" xr:uid="{2215C4CC-0397-456C-A5D2-08EF2DF4D03E}">
      <text>
        <r>
          <rPr>
            <sz val="11"/>
            <color theme="1"/>
            <rFont val="Calibri"/>
            <family val="2"/>
            <scheme val="minor"/>
          </rPr>
          <t>Descripción calculada automáticamente a partir de código del artículo</t>
        </r>
      </text>
    </comment>
    <comment ref="C459" authorId="1" shapeId="0" xr:uid="{7B09EE34-C4A4-458B-93F3-D26FADBC6A70}">
      <text>
        <r>
          <rPr>
            <sz val="11"/>
            <color theme="1"/>
            <rFont val="Calibri"/>
            <family val="2"/>
            <scheme val="minor"/>
          </rPr>
          <t>Seleccione un valor de la lista</t>
        </r>
      </text>
    </comment>
    <comment ref="D459" authorId="1" shapeId="0" xr:uid="{33B388DA-1162-44F8-B274-79BDF7F9BF10}">
      <text>
        <r>
          <rPr>
            <sz val="11"/>
            <color theme="1"/>
            <rFont val="Calibri"/>
            <family val="2"/>
            <scheme val="minor"/>
          </rPr>
          <t>Introduzca un número con dos decimales como máximo. Debe ser igual o mayor a la "Cantidad Real Consumida"</t>
        </r>
      </text>
    </comment>
    <comment ref="E459" authorId="1" shapeId="0" xr:uid="{5B8F4255-625F-449A-BC1A-719B8FF872E7}">
      <text>
        <r>
          <rPr>
            <sz val="11"/>
            <color theme="1"/>
            <rFont val="Calibri"/>
            <family val="2"/>
            <scheme val="minor"/>
          </rPr>
          <t>Introduzca un número con dos decimales como máximo</t>
        </r>
      </text>
    </comment>
    <comment ref="F459" authorId="1" shapeId="0" xr:uid="{CEF3AAE4-3617-4812-B5E4-64F19542373E}">
      <text>
        <r>
          <rPr>
            <sz val="11"/>
            <color theme="1"/>
            <rFont val="Calibri"/>
            <family val="2"/>
            <scheme val="minor"/>
          </rPr>
          <t>Monto calculado automáticamente por el sistema</t>
        </r>
      </text>
    </comment>
    <comment ref="A464" authorId="1" shapeId="0" xr:uid="{5F90C84A-FC0A-4B97-9770-85D96A716A12}">
      <text>
        <r>
          <rPr>
            <sz val="11"/>
            <color theme="1"/>
            <rFont val="Calibri"/>
            <family val="2"/>
            <scheme val="minor"/>
          </rPr>
          <t>Introducir un texto con el nombre o referencia de la contratación</t>
        </r>
      </text>
    </comment>
    <comment ref="B464" authorId="1" shapeId="0" xr:uid="{A1FBD73B-2383-476F-AACB-8E04975BA49E}">
      <text>
        <r>
          <rPr>
            <sz val="11"/>
            <color theme="1"/>
            <rFont val="Calibri"/>
            <family val="2"/>
            <scheme val="minor"/>
          </rPr>
          <t>Introduzca un texto con la finalidad de la contratación</t>
        </r>
      </text>
    </comment>
    <comment ref="C464" authorId="1" shapeId="0" xr:uid="{21B0A26F-7CFB-414D-9DC2-8922EC326E03}">
      <text>
        <r>
          <rPr>
            <sz val="11"/>
            <color theme="1"/>
            <rFont val="Calibri"/>
            <family val="2"/>
            <scheme val="minor"/>
          </rPr>
          <t>Seleccionar un valor del listado</t>
        </r>
      </text>
    </comment>
    <comment ref="D464" authorId="1" shapeId="0" xr:uid="{F1205D93-FB35-4CC6-9A41-BE486AC7CE5F}">
      <text>
        <r>
          <rPr>
            <sz val="11"/>
            <color theme="1"/>
            <rFont val="Calibri"/>
            <family val="2"/>
            <scheme val="minor"/>
          </rPr>
          <t>Seleccione el tipo de procedimiento</t>
        </r>
      </text>
    </comment>
    <comment ref="E464" authorId="1" shapeId="0" xr:uid="{F0163A5D-4C73-4D4F-8F81-32A9D54F9DC5}">
      <text>
        <r>
          <rPr>
            <sz val="11"/>
            <color theme="1"/>
            <rFont val="Calibri"/>
            <family val="2"/>
            <scheme val="minor"/>
          </rPr>
          <t>Seleccione un valor de la lista</t>
        </r>
      </text>
    </comment>
    <comment ref="F464" authorId="1" shapeId="0" xr:uid="{530EBD5E-51D9-442F-8AB9-07AC38576CFF}">
      <text>
        <r>
          <rPr>
            <sz val="11"/>
            <color theme="1"/>
            <rFont val="Calibri"/>
            <family val="2"/>
            <scheme val="minor"/>
          </rPr>
          <t>Introduzca el código SNIP</t>
        </r>
      </text>
    </comment>
    <comment ref="C465" authorId="1" shapeId="0" xr:uid="{B0EB6672-3A31-4A23-97C2-3457DBDCDD47}">
      <text>
        <r>
          <rPr>
            <sz val="11"/>
            <color theme="1"/>
            <rFont val="Calibri"/>
            <family val="2"/>
            <scheme val="minor"/>
          </rPr>
          <t>Introduzca la fecha de inicio del proceso, en formato dd-mm-aaaa</t>
        </r>
      </text>
    </comment>
    <comment ref="F465" authorId="1" shapeId="0" xr:uid="{872952F0-50E8-4163-B7B5-2ADBB30B10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6" authorId="1" shapeId="0" xr:uid="{85A1298D-7F89-4BE3-9CD2-EF35DFCC200B}">
      <text/>
    </comment>
    <comment ref="C467" authorId="1" shapeId="0" xr:uid="{F06B73BC-C891-4310-92A4-1D3A4A214F2A}">
      <text>
        <r>
          <rPr>
            <sz val="11"/>
            <color theme="1"/>
            <rFont val="Calibri"/>
            <family val="2"/>
            <scheme val="minor"/>
          </rPr>
          <t>Introduzca la fecha prevista de adjudicación, en formato dd-mm-aaaa</t>
        </r>
      </text>
    </comment>
    <comment ref="F467" authorId="1" shapeId="0" xr:uid="{0DED6AC1-7759-4545-9FB5-046C3D16F57A}">
      <text/>
    </comment>
    <comment ref="F468" authorId="1" shapeId="0" xr:uid="{FDB6186A-C632-4EE7-8C18-8D4A15B5C95E}">
      <text/>
    </comment>
    <comment ref="A470" authorId="1" shapeId="0" xr:uid="{27DF44D0-3C07-4488-9C23-1199EDC647E6}">
      <text>
        <r>
          <rPr>
            <sz val="11"/>
            <color theme="1"/>
            <rFont val="Calibri"/>
            <family val="2"/>
            <scheme val="minor"/>
          </rPr>
          <t>Introduzca un codigo UNSPSC</t>
        </r>
      </text>
    </comment>
    <comment ref="B470" authorId="1" shapeId="0" xr:uid="{1DB4A2E9-126E-4AE0-B235-E545DF11B31C}">
      <text>
        <r>
          <rPr>
            <sz val="11"/>
            <color theme="1"/>
            <rFont val="Calibri"/>
            <family val="2"/>
            <scheme val="minor"/>
          </rPr>
          <t>Descripción calculada automáticamente a partir de código del artículo</t>
        </r>
      </text>
    </comment>
    <comment ref="C470" authorId="1" shapeId="0" xr:uid="{0626891F-85F4-476F-9E9A-245976876ABB}">
      <text>
        <r>
          <rPr>
            <sz val="11"/>
            <color theme="1"/>
            <rFont val="Calibri"/>
            <family val="2"/>
            <scheme val="minor"/>
          </rPr>
          <t>Seleccione un valor de la lista</t>
        </r>
      </text>
    </comment>
    <comment ref="D470" authorId="1" shapeId="0" xr:uid="{DFACBFCA-C3E1-4948-A285-0B2BE5A42A94}">
      <text>
        <r>
          <rPr>
            <sz val="11"/>
            <color theme="1"/>
            <rFont val="Calibri"/>
            <family val="2"/>
            <scheme val="minor"/>
          </rPr>
          <t>Introduzca un número con dos decimales como máximo. Debe ser igual o mayor a la "Cantidad Real Consumida"</t>
        </r>
      </text>
    </comment>
    <comment ref="E470" authorId="1" shapeId="0" xr:uid="{08D9786C-8E92-4D94-AB0B-AC2DF1749962}">
      <text>
        <r>
          <rPr>
            <sz val="11"/>
            <color theme="1"/>
            <rFont val="Calibri"/>
            <family val="2"/>
            <scheme val="minor"/>
          </rPr>
          <t>Introduzca un número con dos decimales como máximo</t>
        </r>
      </text>
    </comment>
    <comment ref="F470" authorId="1" shapeId="0" xr:uid="{C8F588AF-31A7-47CA-AA8B-3BFB681FE2FD}">
      <text>
        <r>
          <rPr>
            <sz val="11"/>
            <color theme="1"/>
            <rFont val="Calibri"/>
            <family val="2"/>
            <scheme val="minor"/>
          </rPr>
          <t>Monto calculado automáticamente por el sistema</t>
        </r>
      </text>
    </comment>
    <comment ref="A475" authorId="1" shapeId="0" xr:uid="{4A29D894-0A3A-4F01-B467-EDF184B311A7}">
      <text>
        <r>
          <rPr>
            <sz val="11"/>
            <color theme="1"/>
            <rFont val="Calibri"/>
            <family val="2"/>
            <scheme val="minor"/>
          </rPr>
          <t>Introducir un texto con el nombre o referencia de la contratación</t>
        </r>
      </text>
    </comment>
    <comment ref="B475" authorId="1" shapeId="0" xr:uid="{A926A853-F2FE-4DA7-8C9F-4C84A7915FC3}">
      <text>
        <r>
          <rPr>
            <sz val="11"/>
            <color theme="1"/>
            <rFont val="Calibri"/>
            <family val="2"/>
            <scheme val="minor"/>
          </rPr>
          <t>Introduzca un texto con la finalidad de la contratación</t>
        </r>
      </text>
    </comment>
    <comment ref="C475" authorId="1" shapeId="0" xr:uid="{2B6D0B2B-C91C-4E3A-AA6D-27BF344C6459}">
      <text>
        <r>
          <rPr>
            <sz val="11"/>
            <color theme="1"/>
            <rFont val="Calibri"/>
            <family val="2"/>
            <scheme val="minor"/>
          </rPr>
          <t>Seleccionar un valor del listado</t>
        </r>
      </text>
    </comment>
    <comment ref="D475" authorId="1" shapeId="0" xr:uid="{A3F544D8-5F04-4093-907A-AC91BD962424}">
      <text>
        <r>
          <rPr>
            <sz val="11"/>
            <color theme="1"/>
            <rFont val="Calibri"/>
            <family val="2"/>
            <scheme val="minor"/>
          </rPr>
          <t>Seleccione el tipo de procedimiento</t>
        </r>
      </text>
    </comment>
    <comment ref="E475" authorId="1" shapeId="0" xr:uid="{A32B6F7E-FD77-41C5-96B1-0DCB433D0D67}">
      <text>
        <r>
          <rPr>
            <sz val="11"/>
            <color theme="1"/>
            <rFont val="Calibri"/>
            <family val="2"/>
            <scheme val="minor"/>
          </rPr>
          <t>Seleccione un valor de la lista</t>
        </r>
      </text>
    </comment>
    <comment ref="F475" authorId="1" shapeId="0" xr:uid="{7B9CFED5-4719-4557-AB37-812657919A9D}">
      <text>
        <r>
          <rPr>
            <sz val="11"/>
            <color theme="1"/>
            <rFont val="Calibri"/>
            <family val="2"/>
            <scheme val="minor"/>
          </rPr>
          <t>Introduzca el código SNIP</t>
        </r>
      </text>
    </comment>
    <comment ref="C476" authorId="1" shapeId="0" xr:uid="{B451AFFD-F519-4D51-94F2-9D5FF8EC68DA}">
      <text>
        <r>
          <rPr>
            <sz val="11"/>
            <color theme="1"/>
            <rFont val="Calibri"/>
            <family val="2"/>
            <scheme val="minor"/>
          </rPr>
          <t>Introduzca la fecha de inicio del proceso, en formato dd-mm-aaaa</t>
        </r>
      </text>
    </comment>
    <comment ref="F476" authorId="1" shapeId="0" xr:uid="{3E7B0790-856F-4D9D-824F-CEAF5CAF04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9E852C91-EA1E-4546-A77F-B2A03A53550C}">
      <text/>
    </comment>
    <comment ref="C478" authorId="1" shapeId="0" xr:uid="{9E6527F4-EE59-48E0-AC4C-50B866B34231}">
      <text>
        <r>
          <rPr>
            <sz val="11"/>
            <color theme="1"/>
            <rFont val="Calibri"/>
            <family val="2"/>
            <scheme val="minor"/>
          </rPr>
          <t>Introduzca la fecha prevista de adjudicación, en formato dd-mm-aaaa</t>
        </r>
      </text>
    </comment>
    <comment ref="F478" authorId="1" shapeId="0" xr:uid="{2514F284-1F04-4ED1-A58C-E1E752A73F10}">
      <text/>
    </comment>
    <comment ref="F479" authorId="1" shapeId="0" xr:uid="{FF902E08-BF79-4BDB-BFE6-1AB93821FF62}">
      <text/>
    </comment>
    <comment ref="A481" authorId="1" shapeId="0" xr:uid="{43B7FD1C-6641-4B0B-8A34-AB5A4B8DFAE2}">
      <text>
        <r>
          <rPr>
            <sz val="11"/>
            <color theme="1"/>
            <rFont val="Calibri"/>
            <family val="2"/>
            <scheme val="minor"/>
          </rPr>
          <t>Introduzca un codigo UNSPSC</t>
        </r>
      </text>
    </comment>
    <comment ref="B481" authorId="1" shapeId="0" xr:uid="{09B951DD-7147-4F19-824A-A6D75831DB5A}">
      <text>
        <r>
          <rPr>
            <sz val="11"/>
            <color theme="1"/>
            <rFont val="Calibri"/>
            <family val="2"/>
            <scheme val="minor"/>
          </rPr>
          <t>Descripción calculada automáticamente a partir de código del artículo</t>
        </r>
      </text>
    </comment>
    <comment ref="C481" authorId="1" shapeId="0" xr:uid="{264A9A47-0297-49A0-A001-DAE70CC032DA}">
      <text>
        <r>
          <rPr>
            <sz val="11"/>
            <color theme="1"/>
            <rFont val="Calibri"/>
            <family val="2"/>
            <scheme val="minor"/>
          </rPr>
          <t>Seleccione un valor de la lista</t>
        </r>
      </text>
    </comment>
    <comment ref="D481" authorId="1" shapeId="0" xr:uid="{9AE83EDF-1F60-4BC8-82F9-0C3ACDA169F0}">
      <text>
        <r>
          <rPr>
            <sz val="11"/>
            <color theme="1"/>
            <rFont val="Calibri"/>
            <family val="2"/>
            <scheme val="minor"/>
          </rPr>
          <t>Introduzca un número con dos decimales como máximo. Debe ser igual o mayor a la "Cantidad Real Consumida"</t>
        </r>
      </text>
    </comment>
    <comment ref="E481" authorId="1" shapeId="0" xr:uid="{C78B9284-5824-4A6D-8828-1002EC8C3553}">
      <text>
        <r>
          <rPr>
            <sz val="11"/>
            <color theme="1"/>
            <rFont val="Calibri"/>
            <family val="2"/>
            <scheme val="minor"/>
          </rPr>
          <t>Introduzca un número con dos decimales como máximo</t>
        </r>
      </text>
    </comment>
    <comment ref="F481" authorId="1" shapeId="0" xr:uid="{AF2F9193-CA15-4606-900C-A9107B37CD0C}">
      <text>
        <r>
          <rPr>
            <sz val="11"/>
            <color theme="1"/>
            <rFont val="Calibri"/>
            <family val="2"/>
            <scheme val="minor"/>
          </rPr>
          <t>Monto calculado automáticamente por el sistema</t>
        </r>
      </text>
    </comment>
    <comment ref="A487" authorId="1" shapeId="0" xr:uid="{5EAABE19-1E8A-45AE-B95C-5B071AEC5572}">
      <text>
        <r>
          <rPr>
            <sz val="11"/>
            <color theme="1"/>
            <rFont val="Calibri"/>
            <family val="2"/>
            <scheme val="minor"/>
          </rPr>
          <t>Introducir un texto con el nombre o referencia de la contratación</t>
        </r>
      </text>
    </comment>
    <comment ref="B487" authorId="1" shapeId="0" xr:uid="{BBEFD1A9-E2F4-4050-BB87-C7B8D95560AF}">
      <text>
        <r>
          <rPr>
            <sz val="11"/>
            <color theme="1"/>
            <rFont val="Calibri"/>
            <family val="2"/>
            <scheme val="minor"/>
          </rPr>
          <t>Introduzca un texto con la finalidad de la contratación</t>
        </r>
      </text>
    </comment>
    <comment ref="C487" authorId="1" shapeId="0" xr:uid="{178765BB-62B5-4EC8-BA22-90085A00D1E5}">
      <text>
        <r>
          <rPr>
            <sz val="11"/>
            <color theme="1"/>
            <rFont val="Calibri"/>
            <family val="2"/>
            <scheme val="minor"/>
          </rPr>
          <t>Seleccionar un valor del listado</t>
        </r>
      </text>
    </comment>
    <comment ref="D487" authorId="1" shapeId="0" xr:uid="{A9610302-7C5C-4C8D-B796-65C65313B879}">
      <text>
        <r>
          <rPr>
            <sz val="11"/>
            <color theme="1"/>
            <rFont val="Calibri"/>
            <family val="2"/>
            <scheme val="minor"/>
          </rPr>
          <t>Seleccione el tipo de procedimiento</t>
        </r>
      </text>
    </comment>
    <comment ref="E487" authorId="1" shapeId="0" xr:uid="{B1E5F763-B7C7-42A0-A1A0-FA8E9A02FDBB}">
      <text>
        <r>
          <rPr>
            <sz val="11"/>
            <color theme="1"/>
            <rFont val="Calibri"/>
            <family val="2"/>
            <scheme val="minor"/>
          </rPr>
          <t>Seleccione un valor de la lista</t>
        </r>
      </text>
    </comment>
    <comment ref="F487" authorId="1" shapeId="0" xr:uid="{A608DA24-0FF6-424A-8DCB-E5CE1A7310DF}">
      <text>
        <r>
          <rPr>
            <sz val="11"/>
            <color theme="1"/>
            <rFont val="Calibri"/>
            <family val="2"/>
            <scheme val="minor"/>
          </rPr>
          <t>Introduzca el código SNIP</t>
        </r>
      </text>
    </comment>
    <comment ref="C488" authorId="1" shapeId="0" xr:uid="{35B37E51-23BE-4ED0-8DAD-ADDE7DB217C9}">
      <text>
        <r>
          <rPr>
            <sz val="11"/>
            <color theme="1"/>
            <rFont val="Calibri"/>
            <family val="2"/>
            <scheme val="minor"/>
          </rPr>
          <t>Introduzca la fecha de inicio del proceso, en formato dd-mm-aaaa</t>
        </r>
      </text>
    </comment>
    <comment ref="F488" authorId="1" shapeId="0" xr:uid="{F771ADBF-9D6A-4987-885C-5EA94BCF46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7789A14F-9B84-442C-8F88-614388CB23FB}">
      <text/>
    </comment>
    <comment ref="C490" authorId="1" shapeId="0" xr:uid="{72D69628-1F62-4A7E-BF40-1C31C79C14D2}">
      <text>
        <r>
          <rPr>
            <sz val="11"/>
            <color theme="1"/>
            <rFont val="Calibri"/>
            <family val="2"/>
            <scheme val="minor"/>
          </rPr>
          <t>Introduzca la fecha prevista de adjudicación, en formato dd-mm-aaaa</t>
        </r>
      </text>
    </comment>
    <comment ref="F490" authorId="1" shapeId="0" xr:uid="{90838D48-2342-4A9A-95D8-FE46C9CD181D}">
      <text/>
    </comment>
    <comment ref="F491" authorId="1" shapeId="0" xr:uid="{7698A31D-5AE5-41F0-8A6C-87B3EEA573DC}">
      <text/>
    </comment>
    <comment ref="A493" authorId="1" shapeId="0" xr:uid="{5ABDD0E7-89B2-409C-AFA6-114E8ADAFD5D}">
      <text>
        <r>
          <rPr>
            <sz val="11"/>
            <color theme="1"/>
            <rFont val="Calibri"/>
            <family val="2"/>
            <scheme val="minor"/>
          </rPr>
          <t>Introduzca un codigo UNSPSC</t>
        </r>
      </text>
    </comment>
    <comment ref="B493" authorId="1" shapeId="0" xr:uid="{A60DDF94-D289-4FB3-A1DF-E14B4437F3C7}">
      <text>
        <r>
          <rPr>
            <sz val="11"/>
            <color theme="1"/>
            <rFont val="Calibri"/>
            <family val="2"/>
            <scheme val="minor"/>
          </rPr>
          <t>Descripción calculada automáticamente a partir de código del artículo</t>
        </r>
      </text>
    </comment>
    <comment ref="C493" authorId="1" shapeId="0" xr:uid="{B80BBE0F-BEDB-440E-AEA5-458BF3BE6373}">
      <text>
        <r>
          <rPr>
            <sz val="11"/>
            <color theme="1"/>
            <rFont val="Calibri"/>
            <family val="2"/>
            <scheme val="minor"/>
          </rPr>
          <t>Seleccione un valor de la lista</t>
        </r>
      </text>
    </comment>
    <comment ref="D493" authorId="1" shapeId="0" xr:uid="{28AD7E31-077D-4831-A017-3A82C4674669}">
      <text>
        <r>
          <rPr>
            <sz val="11"/>
            <color theme="1"/>
            <rFont val="Calibri"/>
            <family val="2"/>
            <scheme val="minor"/>
          </rPr>
          <t>Introduzca un número con dos decimales como máximo. Debe ser igual o mayor a la "Cantidad Real Consumida"</t>
        </r>
      </text>
    </comment>
    <comment ref="E493" authorId="1" shapeId="0" xr:uid="{EA969618-91E8-4EAA-AD40-CCE853A367CC}">
      <text>
        <r>
          <rPr>
            <sz val="11"/>
            <color theme="1"/>
            <rFont val="Calibri"/>
            <family val="2"/>
            <scheme val="minor"/>
          </rPr>
          <t>Introduzca un número con dos decimales como máximo</t>
        </r>
      </text>
    </comment>
    <comment ref="F493" authorId="1" shapeId="0" xr:uid="{B10F94F1-31B2-48E1-B4FF-143B741B8A89}">
      <text>
        <r>
          <rPr>
            <sz val="11"/>
            <color theme="1"/>
            <rFont val="Calibri"/>
            <family val="2"/>
            <scheme val="minor"/>
          </rPr>
          <t>Monto calculado automáticamente por el sistema</t>
        </r>
      </text>
    </comment>
    <comment ref="A504" authorId="1" shapeId="0" xr:uid="{D6954D7C-B2D9-460F-A0B5-B475EF516C56}">
      <text>
        <r>
          <rPr>
            <sz val="11"/>
            <color theme="1"/>
            <rFont val="Calibri"/>
            <family val="2"/>
            <scheme val="minor"/>
          </rPr>
          <t>Introducir un texto con el nombre o referencia de la contratación</t>
        </r>
      </text>
    </comment>
    <comment ref="B504" authorId="1" shapeId="0" xr:uid="{50B26A0F-2865-4A84-8B6E-97C46130A8A7}">
      <text>
        <r>
          <rPr>
            <sz val="11"/>
            <color theme="1"/>
            <rFont val="Calibri"/>
            <family val="2"/>
            <scheme val="minor"/>
          </rPr>
          <t>Introduzca un texto con la finalidad de la contratación</t>
        </r>
      </text>
    </comment>
    <comment ref="C504" authorId="1" shapeId="0" xr:uid="{2FFA9220-6240-422A-B676-AD45A1820476}">
      <text>
        <r>
          <rPr>
            <sz val="11"/>
            <color theme="1"/>
            <rFont val="Calibri"/>
            <family val="2"/>
            <scheme val="minor"/>
          </rPr>
          <t>Seleccionar un valor del listado</t>
        </r>
      </text>
    </comment>
    <comment ref="D504" authorId="1" shapeId="0" xr:uid="{FED837C1-5F7A-4D21-835C-19882295DE75}">
      <text>
        <r>
          <rPr>
            <sz val="11"/>
            <color theme="1"/>
            <rFont val="Calibri"/>
            <family val="2"/>
            <scheme val="minor"/>
          </rPr>
          <t>Seleccione el tipo de procedimiento</t>
        </r>
      </text>
    </comment>
    <comment ref="E504" authorId="1" shapeId="0" xr:uid="{14D61D6A-F971-47BB-B56D-B3F32082DAD5}">
      <text>
        <r>
          <rPr>
            <sz val="11"/>
            <color theme="1"/>
            <rFont val="Calibri"/>
            <family val="2"/>
            <scheme val="minor"/>
          </rPr>
          <t>Seleccione un valor de la lista</t>
        </r>
      </text>
    </comment>
    <comment ref="F504" authorId="1" shapeId="0" xr:uid="{50E0BACB-EB7F-4195-AA1D-F54FC905371D}">
      <text>
        <r>
          <rPr>
            <sz val="11"/>
            <color theme="1"/>
            <rFont val="Calibri"/>
            <family val="2"/>
            <scheme val="minor"/>
          </rPr>
          <t>Introduzca el código SNIP</t>
        </r>
      </text>
    </comment>
    <comment ref="C505" authorId="1" shapeId="0" xr:uid="{0C6CEA37-1FAC-49FB-97C7-D28507FE99CA}">
      <text>
        <r>
          <rPr>
            <sz val="11"/>
            <color theme="1"/>
            <rFont val="Calibri"/>
            <family val="2"/>
            <scheme val="minor"/>
          </rPr>
          <t>Introduzca la fecha de inicio del proceso, en formato dd-mm-aaaa</t>
        </r>
      </text>
    </comment>
    <comment ref="F505" authorId="1" shapeId="0" xr:uid="{F57C7831-9168-42EC-8EA5-2D8199A6A5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1BAFBD91-D7A1-484B-99E3-D06D00E15555}">
      <text/>
    </comment>
    <comment ref="C507" authorId="1" shapeId="0" xr:uid="{9255331F-5A12-445E-8B75-C72A1C6804DC}">
      <text>
        <r>
          <rPr>
            <sz val="11"/>
            <color theme="1"/>
            <rFont val="Calibri"/>
            <family val="2"/>
            <scheme val="minor"/>
          </rPr>
          <t>Introduzca la fecha prevista de adjudicación, en formato dd-mm-aaaa</t>
        </r>
      </text>
    </comment>
    <comment ref="F507" authorId="1" shapeId="0" xr:uid="{E439679B-DD9F-4016-B434-EF95BA25B439}">
      <text/>
    </comment>
    <comment ref="F508" authorId="1" shapeId="0" xr:uid="{9B2AD498-4FED-4241-9773-406F0F41C043}">
      <text/>
    </comment>
    <comment ref="A510" authorId="1" shapeId="0" xr:uid="{74BAB4C6-F3BF-4A30-9828-71924967186C}">
      <text>
        <r>
          <rPr>
            <sz val="11"/>
            <color theme="1"/>
            <rFont val="Calibri"/>
            <family val="2"/>
            <scheme val="minor"/>
          </rPr>
          <t>Introduzca un codigo UNSPSC</t>
        </r>
      </text>
    </comment>
    <comment ref="B510" authorId="1" shapeId="0" xr:uid="{C3888FF7-F79B-4A5A-9EBD-643AB3E8C095}">
      <text>
        <r>
          <rPr>
            <sz val="11"/>
            <color theme="1"/>
            <rFont val="Calibri"/>
            <family val="2"/>
            <scheme val="minor"/>
          </rPr>
          <t>Descripción calculada automáticamente a partir de código del artículo</t>
        </r>
      </text>
    </comment>
    <comment ref="C510" authorId="1" shapeId="0" xr:uid="{7C61E29E-C293-434B-BC7C-17C7981D00B1}">
      <text>
        <r>
          <rPr>
            <sz val="11"/>
            <color theme="1"/>
            <rFont val="Calibri"/>
            <family val="2"/>
            <scheme val="minor"/>
          </rPr>
          <t>Seleccione un valor de la lista</t>
        </r>
      </text>
    </comment>
    <comment ref="D510" authorId="1" shapeId="0" xr:uid="{DC488569-DFF2-4D9A-B123-83F5E4F657B2}">
      <text>
        <r>
          <rPr>
            <sz val="11"/>
            <color theme="1"/>
            <rFont val="Calibri"/>
            <family val="2"/>
            <scheme val="minor"/>
          </rPr>
          <t>Introduzca un número con dos decimales como máximo. Debe ser igual o mayor a la "Cantidad Real Consumida"</t>
        </r>
      </text>
    </comment>
    <comment ref="E510" authorId="1" shapeId="0" xr:uid="{A395782C-DB92-41DD-A023-E0F45138B302}">
      <text>
        <r>
          <rPr>
            <sz val="11"/>
            <color theme="1"/>
            <rFont val="Calibri"/>
            <family val="2"/>
            <scheme val="minor"/>
          </rPr>
          <t>Introduzca un número con dos decimales como máximo</t>
        </r>
      </text>
    </comment>
    <comment ref="F510" authorId="1" shapeId="0" xr:uid="{5591753F-EACB-47C6-80B6-16B303C48E40}">
      <text>
        <r>
          <rPr>
            <sz val="11"/>
            <color theme="1"/>
            <rFont val="Calibri"/>
            <family val="2"/>
            <scheme val="minor"/>
          </rPr>
          <t>Monto calculado automáticamente por el sistema</t>
        </r>
      </text>
    </comment>
    <comment ref="A515" authorId="1" shapeId="0" xr:uid="{8285ED13-DE4D-4C38-B51C-826AD0647C6B}">
      <text>
        <r>
          <rPr>
            <sz val="11"/>
            <color theme="1"/>
            <rFont val="Calibri"/>
            <family val="2"/>
            <scheme val="minor"/>
          </rPr>
          <t>Introducir un texto con el nombre o referencia de la contratación</t>
        </r>
      </text>
    </comment>
    <comment ref="B515" authorId="1" shapeId="0" xr:uid="{8A9A7D39-14E8-4E0F-9E8A-4B8B923C154D}">
      <text>
        <r>
          <rPr>
            <sz val="11"/>
            <color theme="1"/>
            <rFont val="Calibri"/>
            <family val="2"/>
            <scheme val="minor"/>
          </rPr>
          <t>Introduzca un texto con la finalidad de la contratación</t>
        </r>
      </text>
    </comment>
    <comment ref="C515" authorId="1" shapeId="0" xr:uid="{3EC35219-DBBA-42DE-A74A-B6147E6E8912}">
      <text>
        <r>
          <rPr>
            <sz val="11"/>
            <color theme="1"/>
            <rFont val="Calibri"/>
            <family val="2"/>
            <scheme val="minor"/>
          </rPr>
          <t>Seleccionar un valor del listado</t>
        </r>
      </text>
    </comment>
    <comment ref="D515" authorId="1" shapeId="0" xr:uid="{95246A07-977B-4BB6-ACB1-0D937A76F7DC}">
      <text>
        <r>
          <rPr>
            <sz val="11"/>
            <color theme="1"/>
            <rFont val="Calibri"/>
            <family val="2"/>
            <scheme val="minor"/>
          </rPr>
          <t>Seleccione el tipo de procedimiento</t>
        </r>
      </text>
    </comment>
    <comment ref="E515" authorId="1" shapeId="0" xr:uid="{E3366C69-8D6C-4B30-8ACE-AFE783E6A869}">
      <text>
        <r>
          <rPr>
            <sz val="11"/>
            <color theme="1"/>
            <rFont val="Calibri"/>
            <family val="2"/>
            <scheme val="minor"/>
          </rPr>
          <t>Seleccione un valor de la lista</t>
        </r>
      </text>
    </comment>
    <comment ref="F515" authorId="1" shapeId="0" xr:uid="{8CFA6C0D-F847-4E67-A8F2-5D498C9AA0BA}">
      <text>
        <r>
          <rPr>
            <sz val="11"/>
            <color theme="1"/>
            <rFont val="Calibri"/>
            <family val="2"/>
            <scheme val="minor"/>
          </rPr>
          <t>Introduzca el código SNIP</t>
        </r>
      </text>
    </comment>
    <comment ref="C516" authorId="1" shapeId="0" xr:uid="{1752C578-5CD3-4B29-8290-381BA7124CEB}">
      <text>
        <r>
          <rPr>
            <sz val="11"/>
            <color theme="1"/>
            <rFont val="Calibri"/>
            <family val="2"/>
            <scheme val="minor"/>
          </rPr>
          <t>Introduzca la fecha de inicio del proceso, en formato dd-mm-aaaa</t>
        </r>
      </text>
    </comment>
    <comment ref="F516" authorId="1" shapeId="0" xr:uid="{BB0A2503-987D-4511-964C-EC9070BE21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BB2D9CFD-5232-45C5-96C1-20D7A7E14377}">
      <text/>
    </comment>
    <comment ref="C518" authorId="1" shapeId="0" xr:uid="{A6B3C384-BC42-44C2-BE13-5D74B48D523D}">
      <text>
        <r>
          <rPr>
            <sz val="11"/>
            <color theme="1"/>
            <rFont val="Calibri"/>
            <family val="2"/>
            <scheme val="minor"/>
          </rPr>
          <t>Introduzca la fecha prevista de adjudicación, en formato dd-mm-aaaa</t>
        </r>
      </text>
    </comment>
    <comment ref="F518" authorId="1" shapeId="0" xr:uid="{59EF59A8-8CCC-4523-9074-4B5475FD0100}">
      <text/>
    </comment>
    <comment ref="F519" authorId="1" shapeId="0" xr:uid="{736F4447-9505-47A4-8EE3-944E36B2C298}">
      <text/>
    </comment>
    <comment ref="A521" authorId="1" shapeId="0" xr:uid="{1648802E-E4E8-41EF-894B-CFD390070EFE}">
      <text>
        <r>
          <rPr>
            <sz val="11"/>
            <color theme="1"/>
            <rFont val="Calibri"/>
            <family val="2"/>
            <scheme val="minor"/>
          </rPr>
          <t>Introduzca un codigo UNSPSC</t>
        </r>
      </text>
    </comment>
    <comment ref="B521" authorId="1" shapeId="0" xr:uid="{1BFFAACE-2792-419E-8D38-2EBE8EF38D6D}">
      <text>
        <r>
          <rPr>
            <sz val="11"/>
            <color theme="1"/>
            <rFont val="Calibri"/>
            <family val="2"/>
            <scheme val="minor"/>
          </rPr>
          <t>Descripción calculada automáticamente a partir de código del artículo</t>
        </r>
      </text>
    </comment>
    <comment ref="C521" authorId="1" shapeId="0" xr:uid="{D9E07824-E2D5-4320-9186-09EA80A0B829}">
      <text>
        <r>
          <rPr>
            <sz val="11"/>
            <color theme="1"/>
            <rFont val="Calibri"/>
            <family val="2"/>
            <scheme val="minor"/>
          </rPr>
          <t>Seleccione un valor de la lista</t>
        </r>
      </text>
    </comment>
    <comment ref="D521" authorId="1" shapeId="0" xr:uid="{CA075CCB-2316-47A1-A32E-725476DEAEB7}">
      <text>
        <r>
          <rPr>
            <sz val="11"/>
            <color theme="1"/>
            <rFont val="Calibri"/>
            <family val="2"/>
            <scheme val="minor"/>
          </rPr>
          <t>Introduzca un número con dos decimales como máximo. Debe ser igual o mayor a la "Cantidad Real Consumida"</t>
        </r>
      </text>
    </comment>
    <comment ref="E521" authorId="1" shapeId="0" xr:uid="{FF43E7C1-E6F8-4E2B-BA96-B977549CCFA6}">
      <text>
        <r>
          <rPr>
            <sz val="11"/>
            <color theme="1"/>
            <rFont val="Calibri"/>
            <family val="2"/>
            <scheme val="minor"/>
          </rPr>
          <t>Introduzca un número con dos decimales como máximo</t>
        </r>
      </text>
    </comment>
    <comment ref="F521" authorId="1" shapeId="0" xr:uid="{15D3D9E4-DEE2-4B34-BAD3-85816A215D34}">
      <text>
        <r>
          <rPr>
            <sz val="11"/>
            <color theme="1"/>
            <rFont val="Calibri"/>
            <family val="2"/>
            <scheme val="minor"/>
          </rPr>
          <t>Monto calculado automáticamente por el sistema</t>
        </r>
      </text>
    </comment>
    <comment ref="A536" authorId="1" shapeId="0" xr:uid="{85009FC1-D1EF-4C41-A8FA-62B65DC0C165}">
      <text>
        <r>
          <rPr>
            <sz val="11"/>
            <color theme="1"/>
            <rFont val="Calibri"/>
            <family val="2"/>
            <scheme val="minor"/>
          </rPr>
          <t>Introducir un texto con el nombre o referencia de la contratación</t>
        </r>
      </text>
    </comment>
    <comment ref="B536" authorId="1" shapeId="0" xr:uid="{2FA985D1-5383-49BE-87EC-AEB256C5BD58}">
      <text>
        <r>
          <rPr>
            <sz val="11"/>
            <color theme="1"/>
            <rFont val="Calibri"/>
            <family val="2"/>
            <scheme val="minor"/>
          </rPr>
          <t>Introduzca un texto con la finalidad de la contratación</t>
        </r>
      </text>
    </comment>
    <comment ref="C536" authorId="1" shapeId="0" xr:uid="{808FA523-CAA1-4748-A8CC-62E2873C33D6}">
      <text>
        <r>
          <rPr>
            <sz val="11"/>
            <color theme="1"/>
            <rFont val="Calibri"/>
            <family val="2"/>
            <scheme val="minor"/>
          </rPr>
          <t>Seleccionar un valor del listado</t>
        </r>
      </text>
    </comment>
    <comment ref="D536" authorId="1" shapeId="0" xr:uid="{1939123F-EC74-4A19-AF91-E65B1917D070}">
      <text>
        <r>
          <rPr>
            <sz val="11"/>
            <color theme="1"/>
            <rFont val="Calibri"/>
            <family val="2"/>
            <scheme val="minor"/>
          </rPr>
          <t>Seleccione el tipo de procedimiento</t>
        </r>
      </text>
    </comment>
    <comment ref="E536" authorId="1" shapeId="0" xr:uid="{CD624DBA-A717-4855-8D65-2DC29BCCCA05}">
      <text>
        <r>
          <rPr>
            <sz val="11"/>
            <color theme="1"/>
            <rFont val="Calibri"/>
            <family val="2"/>
            <scheme val="minor"/>
          </rPr>
          <t>Seleccione un valor de la lista</t>
        </r>
      </text>
    </comment>
    <comment ref="F536" authorId="1" shapeId="0" xr:uid="{B0A91C13-1952-4713-9052-478BDA2D32C7}">
      <text>
        <r>
          <rPr>
            <sz val="11"/>
            <color theme="1"/>
            <rFont val="Calibri"/>
            <family val="2"/>
            <scheme val="minor"/>
          </rPr>
          <t>Introduzca el código SNIP</t>
        </r>
      </text>
    </comment>
    <comment ref="C537" authorId="1" shapeId="0" xr:uid="{7765E891-2B7B-4DEC-8BCE-5D03C367B4CE}">
      <text>
        <r>
          <rPr>
            <sz val="11"/>
            <color theme="1"/>
            <rFont val="Calibri"/>
            <family val="2"/>
            <scheme val="minor"/>
          </rPr>
          <t>Introduzca la fecha de inicio del proceso, en formato dd-mm-aaaa</t>
        </r>
      </text>
    </comment>
    <comment ref="F537" authorId="1" shapeId="0" xr:uid="{9A22053E-C085-4372-A58B-8D38459AD8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xr:uid="{0B254753-4F67-4F51-884B-553901892A20}">
      <text/>
    </comment>
    <comment ref="C539" authorId="1" shapeId="0" xr:uid="{1CD57A77-F26E-42AD-A53F-0E85A260D10C}">
      <text>
        <r>
          <rPr>
            <sz val="11"/>
            <color theme="1"/>
            <rFont val="Calibri"/>
            <family val="2"/>
            <scheme val="minor"/>
          </rPr>
          <t>Introduzca la fecha prevista de adjudicación, en formato dd-mm-aaaa</t>
        </r>
      </text>
    </comment>
    <comment ref="F539" authorId="1" shapeId="0" xr:uid="{8350FE33-47FF-4114-821E-F82E007C6282}">
      <text/>
    </comment>
    <comment ref="F540" authorId="1" shapeId="0" xr:uid="{8767EDD6-2307-45CA-ACA3-ED065EE8B102}">
      <text/>
    </comment>
    <comment ref="A542" authorId="1" shapeId="0" xr:uid="{A6338599-6D96-4A7E-B1E7-DEAC2A18FCAF}">
      <text>
        <r>
          <rPr>
            <sz val="11"/>
            <color theme="1"/>
            <rFont val="Calibri"/>
            <family val="2"/>
            <scheme val="minor"/>
          </rPr>
          <t>Introduzca un codigo UNSPSC</t>
        </r>
      </text>
    </comment>
    <comment ref="B542" authorId="1" shapeId="0" xr:uid="{C9ABE080-5C9E-425C-8A54-1A32FDFB2712}">
      <text>
        <r>
          <rPr>
            <sz val="11"/>
            <color theme="1"/>
            <rFont val="Calibri"/>
            <family val="2"/>
            <scheme val="minor"/>
          </rPr>
          <t>Descripción calculada automáticamente a partir de código del artículo</t>
        </r>
      </text>
    </comment>
    <comment ref="C542" authorId="1" shapeId="0" xr:uid="{1184E840-11AF-4D20-8B38-77E4ED665D39}">
      <text>
        <r>
          <rPr>
            <sz val="11"/>
            <color theme="1"/>
            <rFont val="Calibri"/>
            <family val="2"/>
            <scheme val="minor"/>
          </rPr>
          <t>Seleccione un valor de la lista</t>
        </r>
      </text>
    </comment>
    <comment ref="D542" authorId="1" shapeId="0" xr:uid="{861D2B6B-1658-4820-9574-6B0D634D9BF7}">
      <text>
        <r>
          <rPr>
            <sz val="11"/>
            <color theme="1"/>
            <rFont val="Calibri"/>
            <family val="2"/>
            <scheme val="minor"/>
          </rPr>
          <t>Introduzca un número con dos decimales como máximo. Debe ser igual o mayor a la "Cantidad Real Consumida"</t>
        </r>
      </text>
    </comment>
    <comment ref="E542" authorId="1" shapeId="0" xr:uid="{DE3E675D-222A-4FBC-8EE8-F1710B2D0642}">
      <text>
        <r>
          <rPr>
            <sz val="11"/>
            <color theme="1"/>
            <rFont val="Calibri"/>
            <family val="2"/>
            <scheme val="minor"/>
          </rPr>
          <t>Introduzca un número con dos decimales como máximo</t>
        </r>
      </text>
    </comment>
    <comment ref="F542" authorId="1" shapeId="0" xr:uid="{8F9F47B0-9FD6-4CB3-B8DF-0ED778F12F52}">
      <text>
        <r>
          <rPr>
            <sz val="11"/>
            <color theme="1"/>
            <rFont val="Calibri"/>
            <family val="2"/>
            <scheme val="minor"/>
          </rPr>
          <t>Monto calculado automáticamente por el sistema</t>
        </r>
      </text>
    </comment>
    <comment ref="A553" authorId="1" shapeId="0" xr:uid="{AED507EC-A90E-45F1-A904-9D4F4946B4B7}">
      <text>
        <r>
          <rPr>
            <sz val="11"/>
            <color theme="1"/>
            <rFont val="Calibri"/>
            <family val="2"/>
            <scheme val="minor"/>
          </rPr>
          <t>Introducir un texto con el nombre o referencia de la contratación</t>
        </r>
      </text>
    </comment>
    <comment ref="B553" authorId="1" shapeId="0" xr:uid="{D73456C2-963A-413D-80EE-08BBECDE4EE1}">
      <text>
        <r>
          <rPr>
            <sz val="11"/>
            <color theme="1"/>
            <rFont val="Calibri"/>
            <family val="2"/>
            <scheme val="minor"/>
          </rPr>
          <t>Introduzca un texto con la finalidad de la contratación</t>
        </r>
      </text>
    </comment>
    <comment ref="C553" authorId="1" shapeId="0" xr:uid="{C697F7E1-779B-4BED-8496-FAB81BB487E5}">
      <text>
        <r>
          <rPr>
            <sz val="11"/>
            <color theme="1"/>
            <rFont val="Calibri"/>
            <family val="2"/>
            <scheme val="minor"/>
          </rPr>
          <t>Seleccionar un valor del listado</t>
        </r>
      </text>
    </comment>
    <comment ref="D553" authorId="1" shapeId="0" xr:uid="{781DB96A-18FE-4EF6-A724-BA6964194F8D}">
      <text>
        <r>
          <rPr>
            <sz val="11"/>
            <color theme="1"/>
            <rFont val="Calibri"/>
            <family val="2"/>
            <scheme val="minor"/>
          </rPr>
          <t>Seleccione el tipo de procedimiento</t>
        </r>
      </text>
    </comment>
    <comment ref="E553" authorId="1" shapeId="0" xr:uid="{542FBB67-4823-4692-ABBA-7D08CF67061B}">
      <text>
        <r>
          <rPr>
            <sz val="11"/>
            <color theme="1"/>
            <rFont val="Calibri"/>
            <family val="2"/>
            <scheme val="minor"/>
          </rPr>
          <t>Seleccione un valor de la lista</t>
        </r>
      </text>
    </comment>
    <comment ref="F553" authorId="1" shapeId="0" xr:uid="{4A55182A-BD54-4B61-95BD-3BF3D4B596EF}">
      <text>
        <r>
          <rPr>
            <sz val="11"/>
            <color theme="1"/>
            <rFont val="Calibri"/>
            <family val="2"/>
            <scheme val="minor"/>
          </rPr>
          <t>Introduzca el código SNIP</t>
        </r>
      </text>
    </comment>
    <comment ref="C554" authorId="1" shapeId="0" xr:uid="{569B9A80-CB15-4EC4-A926-B958390FE3C5}">
      <text>
        <r>
          <rPr>
            <sz val="11"/>
            <color theme="1"/>
            <rFont val="Calibri"/>
            <family val="2"/>
            <scheme val="minor"/>
          </rPr>
          <t>Introduzca la fecha de inicio del proceso, en formato dd-mm-aaaa</t>
        </r>
      </text>
    </comment>
    <comment ref="F554" authorId="1" shapeId="0" xr:uid="{6BC014BC-4410-485B-A019-D016610E97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5" authorId="1" shapeId="0" xr:uid="{A3373A5B-DB34-486E-BF24-8858A395C4DA}">
      <text/>
    </comment>
    <comment ref="C556" authorId="1" shapeId="0" xr:uid="{9A454E37-17A0-489C-B2EA-626DA8F44889}">
      <text>
        <r>
          <rPr>
            <sz val="11"/>
            <color theme="1"/>
            <rFont val="Calibri"/>
            <family val="2"/>
            <scheme val="minor"/>
          </rPr>
          <t>Introduzca la fecha prevista de adjudicación, en formato dd-mm-aaaa</t>
        </r>
      </text>
    </comment>
    <comment ref="F556" authorId="1" shapeId="0" xr:uid="{FE2BBF7F-0C25-4CA0-B7FE-0FB31CD4659F}">
      <text/>
    </comment>
    <comment ref="F557" authorId="1" shapeId="0" xr:uid="{46F77DD8-45FA-4C17-8837-7CB1A695702D}">
      <text/>
    </comment>
    <comment ref="A559" authorId="1" shapeId="0" xr:uid="{885C3C98-A428-482A-8876-6238BD7DB0AA}">
      <text>
        <r>
          <rPr>
            <sz val="11"/>
            <color theme="1"/>
            <rFont val="Calibri"/>
            <family val="2"/>
            <scheme val="minor"/>
          </rPr>
          <t>Introduzca un codigo UNSPSC</t>
        </r>
      </text>
    </comment>
    <comment ref="B559" authorId="1" shapeId="0" xr:uid="{DFDC74ED-00C2-4946-B8E3-EA53A65D6255}">
      <text>
        <r>
          <rPr>
            <sz val="11"/>
            <color theme="1"/>
            <rFont val="Calibri"/>
            <family val="2"/>
            <scheme val="minor"/>
          </rPr>
          <t>Descripción calculada automáticamente a partir de código del artículo</t>
        </r>
      </text>
    </comment>
    <comment ref="C559" authorId="1" shapeId="0" xr:uid="{A72CBF49-ADBF-447C-87A6-1ED1CDA10ADD}">
      <text>
        <r>
          <rPr>
            <sz val="11"/>
            <color theme="1"/>
            <rFont val="Calibri"/>
            <family val="2"/>
            <scheme val="minor"/>
          </rPr>
          <t>Seleccione un valor de la lista</t>
        </r>
      </text>
    </comment>
    <comment ref="D559" authorId="1" shapeId="0" xr:uid="{5A760AFD-6926-4086-BE6F-A2E8C031C833}">
      <text>
        <r>
          <rPr>
            <sz val="11"/>
            <color theme="1"/>
            <rFont val="Calibri"/>
            <family val="2"/>
            <scheme val="minor"/>
          </rPr>
          <t>Introduzca un número con dos decimales como máximo. Debe ser igual o mayor a la "Cantidad Real Consumida"</t>
        </r>
      </text>
    </comment>
    <comment ref="E559" authorId="1" shapeId="0" xr:uid="{80853D44-0A63-41C3-9596-8B100B6771B0}">
      <text>
        <r>
          <rPr>
            <sz val="11"/>
            <color theme="1"/>
            <rFont val="Calibri"/>
            <family val="2"/>
            <scheme val="minor"/>
          </rPr>
          <t>Introduzca un número con dos decimales como máximo</t>
        </r>
      </text>
    </comment>
    <comment ref="F559" authorId="1" shapeId="0" xr:uid="{57A1066C-78DF-49ED-889E-041EA396AEF0}">
      <text>
        <r>
          <rPr>
            <sz val="11"/>
            <color theme="1"/>
            <rFont val="Calibri"/>
            <family val="2"/>
            <scheme val="minor"/>
          </rPr>
          <t>Monto calculado automáticamente por el sistema</t>
        </r>
      </text>
    </comment>
    <comment ref="A576" authorId="1" shapeId="0" xr:uid="{1AE73CCC-4706-45C3-9F03-166BD1BE792D}">
      <text>
        <r>
          <rPr>
            <sz val="11"/>
            <color theme="1"/>
            <rFont val="Calibri"/>
            <family val="2"/>
            <scheme val="minor"/>
          </rPr>
          <t>Introducir un texto con el nombre o referencia de la contratación</t>
        </r>
      </text>
    </comment>
    <comment ref="B576" authorId="1" shapeId="0" xr:uid="{16DDE491-5A99-42F7-AE9C-A1528B3D7250}">
      <text>
        <r>
          <rPr>
            <sz val="11"/>
            <color theme="1"/>
            <rFont val="Calibri"/>
            <family val="2"/>
            <scheme val="minor"/>
          </rPr>
          <t>Introduzca un texto con la finalidad de la contratación</t>
        </r>
      </text>
    </comment>
    <comment ref="C576" authorId="1" shapeId="0" xr:uid="{B7609470-7D6B-4979-99DF-E5EC6D12330A}">
      <text>
        <r>
          <rPr>
            <sz val="11"/>
            <color theme="1"/>
            <rFont val="Calibri"/>
            <family val="2"/>
            <scheme val="minor"/>
          </rPr>
          <t>Seleccionar un valor del listado</t>
        </r>
      </text>
    </comment>
    <comment ref="D576" authorId="1" shapeId="0" xr:uid="{137A9DA3-C3FE-468F-BEB5-B74B21441F44}">
      <text>
        <r>
          <rPr>
            <sz val="11"/>
            <color theme="1"/>
            <rFont val="Calibri"/>
            <family val="2"/>
            <scheme val="minor"/>
          </rPr>
          <t>Seleccione el tipo de procedimiento</t>
        </r>
      </text>
    </comment>
    <comment ref="E576" authorId="1" shapeId="0" xr:uid="{44201354-C5C6-4527-99D5-9CFC3FC003C5}">
      <text>
        <r>
          <rPr>
            <sz val="11"/>
            <color theme="1"/>
            <rFont val="Calibri"/>
            <family val="2"/>
            <scheme val="minor"/>
          </rPr>
          <t>Seleccione un valor de la lista</t>
        </r>
      </text>
    </comment>
    <comment ref="F576" authorId="1" shapeId="0" xr:uid="{0ACACC2F-C7B1-4589-9359-315480033C29}">
      <text>
        <r>
          <rPr>
            <sz val="11"/>
            <color theme="1"/>
            <rFont val="Calibri"/>
            <family val="2"/>
            <scheme val="minor"/>
          </rPr>
          <t>Introduzca el código SNIP</t>
        </r>
      </text>
    </comment>
    <comment ref="C577" authorId="1" shapeId="0" xr:uid="{699D2DCB-1335-4413-8358-5427980F0E26}">
      <text>
        <r>
          <rPr>
            <sz val="11"/>
            <color theme="1"/>
            <rFont val="Calibri"/>
            <family val="2"/>
            <scheme val="minor"/>
          </rPr>
          <t>Introduzca la fecha de inicio del proceso, en formato dd-mm-aaaa</t>
        </r>
      </text>
    </comment>
    <comment ref="F577" authorId="1" shapeId="0" xr:uid="{580C9239-A9B4-4D89-89EE-622546C28C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1" shapeId="0" xr:uid="{4ADDDF89-0B54-429C-9C8E-3B5493F2B2F4}">
      <text/>
    </comment>
    <comment ref="C579" authorId="1" shapeId="0" xr:uid="{B78546AA-5FAA-4DCC-8552-87D72E25812E}">
      <text>
        <r>
          <rPr>
            <sz val="11"/>
            <color theme="1"/>
            <rFont val="Calibri"/>
            <family val="2"/>
            <scheme val="minor"/>
          </rPr>
          <t>Introduzca la fecha prevista de adjudicación, en formato dd-mm-aaaa</t>
        </r>
      </text>
    </comment>
    <comment ref="F579" authorId="1" shapeId="0" xr:uid="{9188C770-33F8-4785-8B13-7E85B27C8741}">
      <text/>
    </comment>
    <comment ref="F580" authorId="1" shapeId="0" xr:uid="{24F84B70-BD27-4502-81BA-CE5003CCCEE7}">
      <text/>
    </comment>
    <comment ref="A582" authorId="1" shapeId="0" xr:uid="{CE10A447-4A1E-492D-B020-99822F0E21C4}">
      <text>
        <r>
          <rPr>
            <sz val="11"/>
            <color theme="1"/>
            <rFont val="Calibri"/>
            <family val="2"/>
            <scheme val="minor"/>
          </rPr>
          <t>Introduzca un codigo UNSPSC</t>
        </r>
      </text>
    </comment>
    <comment ref="B582" authorId="1" shapeId="0" xr:uid="{FC0F0EA0-ABE7-4A40-A58A-8E3CDEFDE853}">
      <text>
        <r>
          <rPr>
            <sz val="11"/>
            <color theme="1"/>
            <rFont val="Calibri"/>
            <family val="2"/>
            <scheme val="minor"/>
          </rPr>
          <t>Descripción calculada automáticamente a partir de código del artículo</t>
        </r>
      </text>
    </comment>
    <comment ref="C582" authorId="1" shapeId="0" xr:uid="{5DBC0790-CC2A-45E4-976F-14D40EFED1A4}">
      <text>
        <r>
          <rPr>
            <sz val="11"/>
            <color theme="1"/>
            <rFont val="Calibri"/>
            <family val="2"/>
            <scheme val="minor"/>
          </rPr>
          <t>Seleccione un valor de la lista</t>
        </r>
      </text>
    </comment>
    <comment ref="D582" authorId="1" shapeId="0" xr:uid="{3FFA5BAC-244F-42F5-922B-E99D48522463}">
      <text>
        <r>
          <rPr>
            <sz val="11"/>
            <color theme="1"/>
            <rFont val="Calibri"/>
            <family val="2"/>
            <scheme val="minor"/>
          </rPr>
          <t>Introduzca un número con dos decimales como máximo. Debe ser igual o mayor a la "Cantidad Real Consumida"</t>
        </r>
      </text>
    </comment>
    <comment ref="E582" authorId="1" shapeId="0" xr:uid="{0A17C339-428D-4963-9A29-12869AB40B2D}">
      <text>
        <r>
          <rPr>
            <sz val="11"/>
            <color theme="1"/>
            <rFont val="Calibri"/>
            <family val="2"/>
            <scheme val="minor"/>
          </rPr>
          <t>Introduzca un número con dos decimales como máximo</t>
        </r>
      </text>
    </comment>
    <comment ref="F582" authorId="1" shapeId="0" xr:uid="{37A99124-C4EC-4F7B-9EEF-F90548029602}">
      <text>
        <r>
          <rPr>
            <sz val="11"/>
            <color theme="1"/>
            <rFont val="Calibri"/>
            <family val="2"/>
            <scheme val="minor"/>
          </rPr>
          <t>Monto calculado automáticamente por el sistema</t>
        </r>
      </text>
    </comment>
    <comment ref="A604" authorId="1" shapeId="0" xr:uid="{9832C763-C967-4A47-B129-7CA0674119E2}">
      <text>
        <r>
          <rPr>
            <sz val="11"/>
            <color theme="1"/>
            <rFont val="Calibri"/>
            <family val="2"/>
            <scheme val="minor"/>
          </rPr>
          <t>Introducir un texto con el nombre o referencia de la contratación</t>
        </r>
      </text>
    </comment>
    <comment ref="B604" authorId="1" shapeId="0" xr:uid="{1B5BF335-09FE-4FAE-94C1-94FC4322711C}">
      <text>
        <r>
          <rPr>
            <sz val="11"/>
            <color theme="1"/>
            <rFont val="Calibri"/>
            <family val="2"/>
            <scheme val="minor"/>
          </rPr>
          <t>Introduzca un texto con la finalidad de la contratación</t>
        </r>
      </text>
    </comment>
    <comment ref="C604" authorId="1" shapeId="0" xr:uid="{5172EE20-2441-47FC-AA83-BEFD8A4F23F3}">
      <text>
        <r>
          <rPr>
            <sz val="11"/>
            <color theme="1"/>
            <rFont val="Calibri"/>
            <family val="2"/>
            <scheme val="minor"/>
          </rPr>
          <t>Seleccionar un valor del listado</t>
        </r>
      </text>
    </comment>
    <comment ref="D604" authorId="1" shapeId="0" xr:uid="{10A0C9CB-1839-4B0A-B63A-BECB2CA5E3C4}">
      <text>
        <r>
          <rPr>
            <sz val="11"/>
            <color theme="1"/>
            <rFont val="Calibri"/>
            <family val="2"/>
            <scheme val="minor"/>
          </rPr>
          <t>Seleccione el tipo de procedimiento</t>
        </r>
      </text>
    </comment>
    <comment ref="E604" authorId="1" shapeId="0" xr:uid="{7C1C704D-7868-4917-8596-77FFA7E1F193}">
      <text>
        <r>
          <rPr>
            <sz val="11"/>
            <color theme="1"/>
            <rFont val="Calibri"/>
            <family val="2"/>
            <scheme val="minor"/>
          </rPr>
          <t>Seleccione un valor de la lista</t>
        </r>
      </text>
    </comment>
    <comment ref="F604" authorId="1" shapeId="0" xr:uid="{89A8F2A3-5101-4F9C-A916-F89698C1D0AB}">
      <text>
        <r>
          <rPr>
            <sz val="11"/>
            <color theme="1"/>
            <rFont val="Calibri"/>
            <family val="2"/>
            <scheme val="minor"/>
          </rPr>
          <t>Introduzca el código SNIP</t>
        </r>
      </text>
    </comment>
    <comment ref="C605" authorId="1" shapeId="0" xr:uid="{D9B38A66-AD09-44A7-814B-B83550E9F4D0}">
      <text>
        <r>
          <rPr>
            <sz val="11"/>
            <color theme="1"/>
            <rFont val="Calibri"/>
            <family val="2"/>
            <scheme val="minor"/>
          </rPr>
          <t>Introduzca la fecha de inicio del proceso, en formato dd-mm-aaaa</t>
        </r>
      </text>
    </comment>
    <comment ref="F605" authorId="1" shapeId="0" xr:uid="{318CFFCD-ABF2-4F44-813E-A40A0801EC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1" shapeId="0" xr:uid="{86B4D58E-FA1E-4712-800C-FE7055BD0889}">
      <text/>
    </comment>
    <comment ref="C607" authorId="1" shapeId="0" xr:uid="{78572AAE-BE31-45A9-B916-6DB798ED4A4B}">
      <text>
        <r>
          <rPr>
            <sz val="11"/>
            <color theme="1"/>
            <rFont val="Calibri"/>
            <family val="2"/>
            <scheme val="minor"/>
          </rPr>
          <t>Introduzca la fecha prevista de adjudicación, en formato dd-mm-aaaa</t>
        </r>
      </text>
    </comment>
    <comment ref="F607" authorId="1" shapeId="0" xr:uid="{31BAF4D9-4128-466B-A819-6EA211D8F78A}">
      <text/>
    </comment>
    <comment ref="F608" authorId="1" shapeId="0" xr:uid="{B9FFE0C7-F3FB-4780-9464-987AA89A98E4}">
      <text/>
    </comment>
    <comment ref="A610" authorId="1" shapeId="0" xr:uid="{A2C28D80-0E38-414F-BCB5-D37630235982}">
      <text>
        <r>
          <rPr>
            <sz val="11"/>
            <color theme="1"/>
            <rFont val="Calibri"/>
            <family val="2"/>
            <scheme val="minor"/>
          </rPr>
          <t>Introduzca un codigo UNSPSC</t>
        </r>
      </text>
    </comment>
    <comment ref="B610" authorId="1" shapeId="0" xr:uid="{E7DFFF14-E40C-453B-B20F-90B4A7E88FE1}">
      <text>
        <r>
          <rPr>
            <sz val="11"/>
            <color theme="1"/>
            <rFont val="Calibri"/>
            <family val="2"/>
            <scheme val="minor"/>
          </rPr>
          <t>Descripción calculada automáticamente a partir de código del artículo</t>
        </r>
      </text>
    </comment>
    <comment ref="C610" authorId="1" shapeId="0" xr:uid="{41D46528-7B06-4C2D-9E35-536B0BDB2865}">
      <text>
        <r>
          <rPr>
            <sz val="11"/>
            <color theme="1"/>
            <rFont val="Calibri"/>
            <family val="2"/>
            <scheme val="minor"/>
          </rPr>
          <t>Seleccione un valor de la lista</t>
        </r>
      </text>
    </comment>
    <comment ref="D610" authorId="1" shapeId="0" xr:uid="{B4818780-EA13-4BEC-9DBA-C614875CD1DC}">
      <text>
        <r>
          <rPr>
            <sz val="11"/>
            <color theme="1"/>
            <rFont val="Calibri"/>
            <family val="2"/>
            <scheme val="minor"/>
          </rPr>
          <t>Introduzca un número con dos decimales como máximo. Debe ser igual o mayor a la "Cantidad Real Consumida"</t>
        </r>
      </text>
    </comment>
    <comment ref="E610" authorId="1" shapeId="0" xr:uid="{0FB65C1D-02EE-4748-A4CA-55515143D00D}">
      <text>
        <r>
          <rPr>
            <sz val="11"/>
            <color theme="1"/>
            <rFont val="Calibri"/>
            <family val="2"/>
            <scheme val="minor"/>
          </rPr>
          <t>Introduzca un número con dos decimales como máximo</t>
        </r>
      </text>
    </comment>
    <comment ref="F610" authorId="1" shapeId="0" xr:uid="{B65D0776-7010-4CD2-9D20-6F6CC093EE27}">
      <text>
        <r>
          <rPr>
            <sz val="11"/>
            <color theme="1"/>
            <rFont val="Calibri"/>
            <family val="2"/>
            <scheme val="minor"/>
          </rPr>
          <t>Monto calculado automáticamente por el sistema</t>
        </r>
      </text>
    </comment>
    <comment ref="A630" authorId="1" shapeId="0" xr:uid="{FB42CC54-42B3-4A98-AC41-65047154A723}">
      <text>
        <r>
          <rPr>
            <sz val="11"/>
            <color theme="1"/>
            <rFont val="Calibri"/>
            <family val="2"/>
            <scheme val="minor"/>
          </rPr>
          <t>Introducir un texto con el nombre o referencia de la contratación</t>
        </r>
      </text>
    </comment>
    <comment ref="B630" authorId="1" shapeId="0" xr:uid="{21B55E52-B68E-441D-B128-2C4CE9E9B74A}">
      <text>
        <r>
          <rPr>
            <sz val="11"/>
            <color theme="1"/>
            <rFont val="Calibri"/>
            <family val="2"/>
            <scheme val="minor"/>
          </rPr>
          <t>Introduzca un texto con la finalidad de la contratación</t>
        </r>
      </text>
    </comment>
    <comment ref="C630" authorId="1" shapeId="0" xr:uid="{4FA7587C-391F-42D6-9A38-2F831E28D872}">
      <text>
        <r>
          <rPr>
            <sz val="11"/>
            <color theme="1"/>
            <rFont val="Calibri"/>
            <family val="2"/>
            <scheme val="minor"/>
          </rPr>
          <t>Seleccionar un valor del listado</t>
        </r>
      </text>
    </comment>
    <comment ref="D630" authorId="1" shapeId="0" xr:uid="{8D701B1D-F05D-489E-B7EC-A02BBC5F3FB7}">
      <text>
        <r>
          <rPr>
            <sz val="11"/>
            <color theme="1"/>
            <rFont val="Calibri"/>
            <family val="2"/>
            <scheme val="minor"/>
          </rPr>
          <t>Seleccione el tipo de procedimiento</t>
        </r>
      </text>
    </comment>
    <comment ref="E630" authorId="1" shapeId="0" xr:uid="{EDECB094-E780-49AF-8FBD-07543792CD05}">
      <text>
        <r>
          <rPr>
            <sz val="11"/>
            <color theme="1"/>
            <rFont val="Calibri"/>
            <family val="2"/>
            <scheme val="minor"/>
          </rPr>
          <t>Seleccione un valor de la lista</t>
        </r>
      </text>
    </comment>
    <comment ref="F630" authorId="1" shapeId="0" xr:uid="{4D6FC080-4899-48E7-9FF5-D7190D2A0FAF}">
      <text>
        <r>
          <rPr>
            <sz val="11"/>
            <color theme="1"/>
            <rFont val="Calibri"/>
            <family val="2"/>
            <scheme val="minor"/>
          </rPr>
          <t>Introduzca el código SNIP</t>
        </r>
      </text>
    </comment>
    <comment ref="C631" authorId="1" shapeId="0" xr:uid="{0D10BCF5-C1D2-4D56-ADE8-073663FB61BB}">
      <text>
        <r>
          <rPr>
            <sz val="11"/>
            <color theme="1"/>
            <rFont val="Calibri"/>
            <family val="2"/>
            <scheme val="minor"/>
          </rPr>
          <t>Introduzca la fecha de inicio del proceso, en formato dd-mm-aaaa</t>
        </r>
      </text>
    </comment>
    <comment ref="F631" authorId="1" shapeId="0" xr:uid="{D5E284F8-D32F-4A8E-AF0F-9CC72BD807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xr:uid="{70B2068D-856C-4509-AFB3-1BBCE882077D}">
      <text/>
    </comment>
    <comment ref="C633" authorId="1" shapeId="0" xr:uid="{2CC75F80-FA56-4BF1-9D22-86B10A51D58F}">
      <text>
        <r>
          <rPr>
            <sz val="11"/>
            <color theme="1"/>
            <rFont val="Calibri"/>
            <family val="2"/>
            <scheme val="minor"/>
          </rPr>
          <t>Introduzca la fecha prevista de adjudicación, en formato dd-mm-aaaa</t>
        </r>
      </text>
    </comment>
    <comment ref="F633" authorId="1" shapeId="0" xr:uid="{94632FB7-77C7-4D22-93F4-21144DF0F30F}">
      <text/>
    </comment>
    <comment ref="F634" authorId="1" shapeId="0" xr:uid="{E8D56F9E-4FFC-4856-90D7-0AA12EC55686}">
      <text/>
    </comment>
    <comment ref="A636" authorId="1" shapeId="0" xr:uid="{D84301E0-69F7-406B-B93D-749307DAE92A}">
      <text>
        <r>
          <rPr>
            <sz val="11"/>
            <color theme="1"/>
            <rFont val="Calibri"/>
            <family val="2"/>
            <scheme val="minor"/>
          </rPr>
          <t>Introduzca un codigo UNSPSC</t>
        </r>
      </text>
    </comment>
    <comment ref="B636" authorId="1" shapeId="0" xr:uid="{0EE12FAC-D038-4DD3-9DE5-141489EF36AE}">
      <text>
        <r>
          <rPr>
            <sz val="11"/>
            <color theme="1"/>
            <rFont val="Calibri"/>
            <family val="2"/>
            <scheme val="minor"/>
          </rPr>
          <t>Descripción calculada automáticamente a partir de código del artículo</t>
        </r>
      </text>
    </comment>
    <comment ref="C636" authorId="1" shapeId="0" xr:uid="{E8B7D270-D62F-46DA-85C2-4984FF01253B}">
      <text>
        <r>
          <rPr>
            <sz val="11"/>
            <color theme="1"/>
            <rFont val="Calibri"/>
            <family val="2"/>
            <scheme val="minor"/>
          </rPr>
          <t>Seleccione un valor de la lista</t>
        </r>
      </text>
    </comment>
    <comment ref="D636" authorId="1" shapeId="0" xr:uid="{87ADB37C-AE09-4F97-B746-52DA4D0186AC}">
      <text>
        <r>
          <rPr>
            <sz val="11"/>
            <color theme="1"/>
            <rFont val="Calibri"/>
            <family val="2"/>
            <scheme val="minor"/>
          </rPr>
          <t>Introduzca un número con dos decimales como máximo. Debe ser igual o mayor a la "Cantidad Real Consumida"</t>
        </r>
      </text>
    </comment>
    <comment ref="E636" authorId="1" shapeId="0" xr:uid="{2A8080D0-E7E4-4502-BBBF-66E21D51B2CA}">
      <text>
        <r>
          <rPr>
            <sz val="11"/>
            <color theme="1"/>
            <rFont val="Calibri"/>
            <family val="2"/>
            <scheme val="minor"/>
          </rPr>
          <t>Introduzca un número con dos decimales como máximo</t>
        </r>
      </text>
    </comment>
    <comment ref="F636" authorId="1" shapeId="0" xr:uid="{09A9B775-7B17-4F0F-BA51-391EEDE85BE2}">
      <text>
        <r>
          <rPr>
            <sz val="11"/>
            <color theme="1"/>
            <rFont val="Calibri"/>
            <family val="2"/>
            <scheme val="minor"/>
          </rPr>
          <t>Monto calculado automáticamente por el sistema</t>
        </r>
      </text>
    </comment>
    <comment ref="A686" authorId="1" shapeId="0" xr:uid="{F27A99BA-FCA7-4FA5-A369-0E4DD650C6C2}">
      <text>
        <r>
          <rPr>
            <sz val="11"/>
            <color theme="1"/>
            <rFont val="Calibri"/>
            <family val="2"/>
            <scheme val="minor"/>
          </rPr>
          <t>Introducir un texto con el nombre o referencia de la contratación</t>
        </r>
      </text>
    </comment>
    <comment ref="B686" authorId="1" shapeId="0" xr:uid="{49E9A28F-D8E8-4DE0-BD58-F13153596F7A}">
      <text>
        <r>
          <rPr>
            <sz val="11"/>
            <color theme="1"/>
            <rFont val="Calibri"/>
            <family val="2"/>
            <scheme val="minor"/>
          </rPr>
          <t>Introduzca un texto con la finalidad de la contratación</t>
        </r>
      </text>
    </comment>
    <comment ref="C686" authorId="1" shapeId="0" xr:uid="{D411CB39-C2D8-46CC-910F-86919AC1C60B}">
      <text>
        <r>
          <rPr>
            <sz val="11"/>
            <color theme="1"/>
            <rFont val="Calibri"/>
            <family val="2"/>
            <scheme val="minor"/>
          </rPr>
          <t>Seleccionar un valor del listado</t>
        </r>
      </text>
    </comment>
    <comment ref="D686" authorId="1" shapeId="0" xr:uid="{4260588B-8991-4CDF-98F1-7082C7ED6F29}">
      <text>
        <r>
          <rPr>
            <sz val="11"/>
            <color theme="1"/>
            <rFont val="Calibri"/>
            <family val="2"/>
            <scheme val="minor"/>
          </rPr>
          <t>Seleccione el tipo de procedimiento</t>
        </r>
      </text>
    </comment>
    <comment ref="E686" authorId="1" shapeId="0" xr:uid="{87114213-DE2A-4AE0-838B-6CF5AE480CA5}">
      <text>
        <r>
          <rPr>
            <sz val="11"/>
            <color theme="1"/>
            <rFont val="Calibri"/>
            <family val="2"/>
            <scheme val="minor"/>
          </rPr>
          <t>Seleccione un valor de la lista</t>
        </r>
      </text>
    </comment>
    <comment ref="F686" authorId="1" shapeId="0" xr:uid="{4ADA9DB5-D846-4881-8616-D17591CD635C}">
      <text>
        <r>
          <rPr>
            <sz val="11"/>
            <color theme="1"/>
            <rFont val="Calibri"/>
            <family val="2"/>
            <scheme val="minor"/>
          </rPr>
          <t>Introduzca el código SNIP</t>
        </r>
      </text>
    </comment>
    <comment ref="C687" authorId="1" shapeId="0" xr:uid="{2D56B66D-0E77-47FE-947B-6F00E0C6B253}">
      <text>
        <r>
          <rPr>
            <sz val="11"/>
            <color theme="1"/>
            <rFont val="Calibri"/>
            <family val="2"/>
            <scheme val="minor"/>
          </rPr>
          <t>Introduzca la fecha de inicio del proceso, en formato dd-mm-aaaa</t>
        </r>
      </text>
    </comment>
    <comment ref="F687" authorId="1" shapeId="0" xr:uid="{82EF471E-1C0C-4FB5-AA5C-5FE8FAF8E9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1" shapeId="0" xr:uid="{95231720-5280-42E0-9CBD-6F032483C3E1}">
      <text/>
    </comment>
    <comment ref="C689" authorId="1" shapeId="0" xr:uid="{439668DE-0C89-4EC4-A16D-AC542205D9CC}">
      <text>
        <r>
          <rPr>
            <sz val="11"/>
            <color theme="1"/>
            <rFont val="Calibri"/>
            <family val="2"/>
            <scheme val="minor"/>
          </rPr>
          <t>Introduzca la fecha prevista de adjudicación, en formato dd-mm-aaaa</t>
        </r>
      </text>
    </comment>
    <comment ref="F689" authorId="1" shapeId="0" xr:uid="{C863D214-F04B-4A3D-9623-B2596D07F48B}">
      <text/>
    </comment>
    <comment ref="F690" authorId="1" shapeId="0" xr:uid="{0FBA0DEC-5D17-4E3D-B579-F2661B7675CE}">
      <text/>
    </comment>
    <comment ref="A692" authorId="1" shapeId="0" xr:uid="{7C8098BC-D279-4EAE-AB5B-C451E23205E8}">
      <text>
        <r>
          <rPr>
            <sz val="11"/>
            <color theme="1"/>
            <rFont val="Calibri"/>
            <family val="2"/>
            <scheme val="minor"/>
          </rPr>
          <t>Introduzca un codigo UNSPSC</t>
        </r>
      </text>
    </comment>
    <comment ref="B692" authorId="1" shapeId="0" xr:uid="{E846B462-601C-43B6-99B5-5514DF8E6006}">
      <text>
        <r>
          <rPr>
            <sz val="11"/>
            <color theme="1"/>
            <rFont val="Calibri"/>
            <family val="2"/>
            <scheme val="minor"/>
          </rPr>
          <t>Descripción calculada automáticamente a partir de código del artículo</t>
        </r>
      </text>
    </comment>
    <comment ref="C692" authorId="1" shapeId="0" xr:uid="{A8F58A30-7CCF-4828-AA42-E839D27CD33B}">
      <text>
        <r>
          <rPr>
            <sz val="11"/>
            <color theme="1"/>
            <rFont val="Calibri"/>
            <family val="2"/>
            <scheme val="minor"/>
          </rPr>
          <t>Seleccione un valor de la lista</t>
        </r>
      </text>
    </comment>
    <comment ref="D692" authorId="1" shapeId="0" xr:uid="{9F033028-CAD0-4CD1-B2E0-FC7FFF56428A}">
      <text>
        <r>
          <rPr>
            <sz val="11"/>
            <color theme="1"/>
            <rFont val="Calibri"/>
            <family val="2"/>
            <scheme val="minor"/>
          </rPr>
          <t>Introduzca un número con dos decimales como máximo. Debe ser igual o mayor a la "Cantidad Real Consumida"</t>
        </r>
      </text>
    </comment>
    <comment ref="E692" authorId="1" shapeId="0" xr:uid="{81D82E2E-2286-4DCC-AB80-E0B76D6FED54}">
      <text>
        <r>
          <rPr>
            <sz val="11"/>
            <color theme="1"/>
            <rFont val="Calibri"/>
            <family val="2"/>
            <scheme val="minor"/>
          </rPr>
          <t>Introduzca un número con dos decimales como máximo</t>
        </r>
      </text>
    </comment>
    <comment ref="F692" authorId="1" shapeId="0" xr:uid="{BE58ED20-B0FC-4BEA-9DDF-224803C10B50}">
      <text>
        <r>
          <rPr>
            <sz val="11"/>
            <color theme="1"/>
            <rFont val="Calibri"/>
            <family val="2"/>
            <scheme val="minor"/>
          </rPr>
          <t>Monto calculado automáticamente por el sistema</t>
        </r>
      </text>
    </comment>
    <comment ref="A700" authorId="1" shapeId="0" xr:uid="{8F7FA301-1B91-4356-8BC8-A3B30E5DD8CE}">
      <text>
        <r>
          <rPr>
            <sz val="11"/>
            <color theme="1"/>
            <rFont val="Calibri"/>
            <family val="2"/>
            <scheme val="minor"/>
          </rPr>
          <t>Introducir un texto con el nombre o referencia de la contratación</t>
        </r>
      </text>
    </comment>
    <comment ref="B700" authorId="1" shapeId="0" xr:uid="{59D8EAD8-62D7-455D-AC52-7ABC5AD615F6}">
      <text>
        <r>
          <rPr>
            <sz val="11"/>
            <color theme="1"/>
            <rFont val="Calibri"/>
            <family val="2"/>
            <scheme val="minor"/>
          </rPr>
          <t>Introduzca un texto con la finalidad de la contratación</t>
        </r>
      </text>
    </comment>
    <comment ref="C700" authorId="1" shapeId="0" xr:uid="{9653D611-8843-4EB4-9BA7-013BFE5876CF}">
      <text>
        <r>
          <rPr>
            <sz val="11"/>
            <color theme="1"/>
            <rFont val="Calibri"/>
            <family val="2"/>
            <scheme val="minor"/>
          </rPr>
          <t>Seleccionar un valor del listado</t>
        </r>
      </text>
    </comment>
    <comment ref="D700" authorId="1" shapeId="0" xr:uid="{0B7AF892-A282-4D67-9BD6-D3F49220AD98}">
      <text>
        <r>
          <rPr>
            <sz val="11"/>
            <color theme="1"/>
            <rFont val="Calibri"/>
            <family val="2"/>
            <scheme val="minor"/>
          </rPr>
          <t>Seleccione el tipo de procedimiento</t>
        </r>
      </text>
    </comment>
    <comment ref="E700" authorId="1" shapeId="0" xr:uid="{4466260E-C473-49A2-BB96-438F5994286D}">
      <text>
        <r>
          <rPr>
            <sz val="11"/>
            <color theme="1"/>
            <rFont val="Calibri"/>
            <family val="2"/>
            <scheme val="minor"/>
          </rPr>
          <t>Seleccione un valor de la lista</t>
        </r>
      </text>
    </comment>
    <comment ref="F700" authorId="1" shapeId="0" xr:uid="{E0CB7FA7-021B-4CD7-8C1D-AB68FB59CD90}">
      <text>
        <r>
          <rPr>
            <sz val="11"/>
            <color theme="1"/>
            <rFont val="Calibri"/>
            <family val="2"/>
            <scheme val="minor"/>
          </rPr>
          <t>Introduzca el código SNIP</t>
        </r>
      </text>
    </comment>
    <comment ref="C701" authorId="1" shapeId="0" xr:uid="{FBD29B9A-1BF3-4A30-B1C1-B55753ED9F94}">
      <text>
        <r>
          <rPr>
            <sz val="11"/>
            <color theme="1"/>
            <rFont val="Calibri"/>
            <family val="2"/>
            <scheme val="minor"/>
          </rPr>
          <t>Introduzca la fecha de inicio del proceso, en formato dd-mm-aaaa</t>
        </r>
      </text>
    </comment>
    <comment ref="F701" authorId="1" shapeId="0" xr:uid="{8548D5CD-70E9-4D9D-9426-59423D2317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55B10ABD-4535-4CD8-BFF4-255188617507}">
      <text/>
    </comment>
    <comment ref="C703" authorId="1" shapeId="0" xr:uid="{FB33D317-130C-45CF-BB0A-1CDCE2537C57}">
      <text>
        <r>
          <rPr>
            <sz val="11"/>
            <color theme="1"/>
            <rFont val="Calibri"/>
            <family val="2"/>
            <scheme val="minor"/>
          </rPr>
          <t>Introduzca la fecha prevista de adjudicación, en formato dd-mm-aaaa</t>
        </r>
      </text>
    </comment>
    <comment ref="F703" authorId="1" shapeId="0" xr:uid="{52157C9B-5FED-4A53-A7B0-F00039BFCE1E}">
      <text/>
    </comment>
    <comment ref="F704" authorId="1" shapeId="0" xr:uid="{336E18A9-50AE-4DF8-9587-CD993AA2DF1F}">
      <text/>
    </comment>
    <comment ref="A706" authorId="1" shapeId="0" xr:uid="{70E7AF58-3B66-4D95-869E-6BFCB4321E49}">
      <text>
        <r>
          <rPr>
            <sz val="11"/>
            <color theme="1"/>
            <rFont val="Calibri"/>
            <family val="2"/>
            <scheme val="minor"/>
          </rPr>
          <t>Introduzca un codigo UNSPSC</t>
        </r>
      </text>
    </comment>
    <comment ref="B706" authorId="1" shapeId="0" xr:uid="{139B3B29-139B-498B-8624-C26E6531277C}">
      <text>
        <r>
          <rPr>
            <sz val="11"/>
            <color theme="1"/>
            <rFont val="Calibri"/>
            <family val="2"/>
            <scheme val="minor"/>
          </rPr>
          <t>Descripción calculada automáticamente a partir de código del artículo</t>
        </r>
      </text>
    </comment>
    <comment ref="C706" authorId="1" shapeId="0" xr:uid="{6F550130-0263-4AEE-B619-6AE4AA05AF3F}">
      <text>
        <r>
          <rPr>
            <sz val="11"/>
            <color theme="1"/>
            <rFont val="Calibri"/>
            <family val="2"/>
            <scheme val="minor"/>
          </rPr>
          <t>Seleccione un valor de la lista</t>
        </r>
      </text>
    </comment>
    <comment ref="D706" authorId="1" shapeId="0" xr:uid="{2AC2679E-E7A5-45A2-A88B-CBA0DFE4D90E}">
      <text>
        <r>
          <rPr>
            <sz val="11"/>
            <color theme="1"/>
            <rFont val="Calibri"/>
            <family val="2"/>
            <scheme val="minor"/>
          </rPr>
          <t>Introduzca un número con dos decimales como máximo. Debe ser igual o mayor a la "Cantidad Real Consumida"</t>
        </r>
      </text>
    </comment>
    <comment ref="E706" authorId="1" shapeId="0" xr:uid="{52CAE239-536D-4869-948C-A5C90A03AE89}">
      <text>
        <r>
          <rPr>
            <sz val="11"/>
            <color theme="1"/>
            <rFont val="Calibri"/>
            <family val="2"/>
            <scheme val="minor"/>
          </rPr>
          <t>Introduzca un número con dos decimales como máximo</t>
        </r>
      </text>
    </comment>
    <comment ref="F706" authorId="1" shapeId="0" xr:uid="{06C56CA7-EB6E-4618-81B6-D62378C2779C}">
      <text>
        <r>
          <rPr>
            <sz val="11"/>
            <color theme="1"/>
            <rFont val="Calibri"/>
            <family val="2"/>
            <scheme val="minor"/>
          </rPr>
          <t>Monto calculado automáticamente por el sistema</t>
        </r>
      </text>
    </comment>
    <comment ref="A715" authorId="1" shapeId="0" xr:uid="{9879A012-6DF6-471B-93CB-8F962ACB4E82}">
      <text>
        <r>
          <rPr>
            <sz val="11"/>
            <color theme="1"/>
            <rFont val="Calibri"/>
            <family val="2"/>
            <scheme val="minor"/>
          </rPr>
          <t>Introducir un texto con el nombre o referencia de la contratación</t>
        </r>
      </text>
    </comment>
    <comment ref="B715" authorId="1" shapeId="0" xr:uid="{9B5E0A99-CC9C-402D-86F9-B74F0588BE0E}">
      <text>
        <r>
          <rPr>
            <sz val="11"/>
            <color theme="1"/>
            <rFont val="Calibri"/>
            <family val="2"/>
            <scheme val="minor"/>
          </rPr>
          <t>Introduzca un texto con la finalidad de la contratación</t>
        </r>
      </text>
    </comment>
    <comment ref="C715" authorId="1" shapeId="0" xr:uid="{F1BF0C6D-9772-4D09-8709-2D19C3AE3B72}">
      <text>
        <r>
          <rPr>
            <sz val="11"/>
            <color theme="1"/>
            <rFont val="Calibri"/>
            <family val="2"/>
            <scheme val="minor"/>
          </rPr>
          <t>Seleccionar un valor del listado</t>
        </r>
      </text>
    </comment>
    <comment ref="D715" authorId="1" shapeId="0" xr:uid="{061C866F-272A-4E01-A1FE-600F30013F79}">
      <text>
        <r>
          <rPr>
            <sz val="11"/>
            <color theme="1"/>
            <rFont val="Calibri"/>
            <family val="2"/>
            <scheme val="minor"/>
          </rPr>
          <t>Seleccione el tipo de procedimiento</t>
        </r>
      </text>
    </comment>
    <comment ref="E715" authorId="1" shapeId="0" xr:uid="{0287A976-9DDA-48EC-B468-42DDB5586742}">
      <text>
        <r>
          <rPr>
            <sz val="11"/>
            <color theme="1"/>
            <rFont val="Calibri"/>
            <family val="2"/>
            <scheme val="minor"/>
          </rPr>
          <t>Seleccione un valor de la lista</t>
        </r>
      </text>
    </comment>
    <comment ref="F715" authorId="1" shapeId="0" xr:uid="{9FB6E714-C44C-4C3C-A544-EE4E45A702AB}">
      <text>
        <r>
          <rPr>
            <sz val="11"/>
            <color theme="1"/>
            <rFont val="Calibri"/>
            <family val="2"/>
            <scheme val="minor"/>
          </rPr>
          <t>Introduzca el código SNIP</t>
        </r>
      </text>
    </comment>
    <comment ref="C716" authorId="1" shapeId="0" xr:uid="{E6E3A5F9-9BD9-40CF-9C3B-1F652C78D5A7}">
      <text>
        <r>
          <rPr>
            <sz val="11"/>
            <color theme="1"/>
            <rFont val="Calibri"/>
            <family val="2"/>
            <scheme val="minor"/>
          </rPr>
          <t>Introduzca la fecha de inicio del proceso, en formato dd-mm-aaaa</t>
        </r>
      </text>
    </comment>
    <comment ref="F716" authorId="1" shapeId="0" xr:uid="{2A188A80-2602-4A3F-B72D-470E1BE82A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AEEEDB77-A4D2-4331-9C93-38745DA3561E}">
      <text/>
    </comment>
    <comment ref="C718" authorId="1" shapeId="0" xr:uid="{BDEE58BA-7355-4F74-AAB5-B6987FA9E454}">
      <text>
        <r>
          <rPr>
            <sz val="11"/>
            <color theme="1"/>
            <rFont val="Calibri"/>
            <family val="2"/>
            <scheme val="minor"/>
          </rPr>
          <t>Introduzca la fecha prevista de adjudicación, en formato dd-mm-aaaa</t>
        </r>
      </text>
    </comment>
    <comment ref="F718" authorId="1" shapeId="0" xr:uid="{858F901D-5B17-4CFD-8666-1E90D5929862}">
      <text/>
    </comment>
    <comment ref="F719" authorId="1" shapeId="0" xr:uid="{350F28B3-6019-444C-B0C8-FBFCF4825AAA}">
      <text/>
    </comment>
    <comment ref="A721" authorId="1" shapeId="0" xr:uid="{57B4A839-1E4B-4DB6-A550-C05345AB28A8}">
      <text>
        <r>
          <rPr>
            <sz val="11"/>
            <color theme="1"/>
            <rFont val="Calibri"/>
            <family val="2"/>
            <scheme val="minor"/>
          </rPr>
          <t>Introduzca un codigo UNSPSC</t>
        </r>
      </text>
    </comment>
    <comment ref="B721" authorId="1" shapeId="0" xr:uid="{E9597A8A-E530-4D97-AC0C-7E3DA5BC47F4}">
      <text>
        <r>
          <rPr>
            <sz val="11"/>
            <color theme="1"/>
            <rFont val="Calibri"/>
            <family val="2"/>
            <scheme val="minor"/>
          </rPr>
          <t>Descripción calculada automáticamente a partir de código del artículo</t>
        </r>
      </text>
    </comment>
    <comment ref="C721" authorId="1" shapeId="0" xr:uid="{54DE39DF-21AF-412E-8211-72F6737DBACB}">
      <text>
        <r>
          <rPr>
            <sz val="11"/>
            <color theme="1"/>
            <rFont val="Calibri"/>
            <family val="2"/>
            <scheme val="minor"/>
          </rPr>
          <t>Seleccione un valor de la lista</t>
        </r>
      </text>
    </comment>
    <comment ref="D721" authorId="1" shapeId="0" xr:uid="{42E70923-6F1A-4D01-86DE-C6EE43CEE5A6}">
      <text>
        <r>
          <rPr>
            <sz val="11"/>
            <color theme="1"/>
            <rFont val="Calibri"/>
            <family val="2"/>
            <scheme val="minor"/>
          </rPr>
          <t>Introduzca un número con dos decimales como máximo. Debe ser igual o mayor a la "Cantidad Real Consumida"</t>
        </r>
      </text>
    </comment>
    <comment ref="E721" authorId="1" shapeId="0" xr:uid="{CF34FEB1-566A-4BFC-BEA2-D501DBC6D0A2}">
      <text>
        <r>
          <rPr>
            <sz val="11"/>
            <color theme="1"/>
            <rFont val="Calibri"/>
            <family val="2"/>
            <scheme val="minor"/>
          </rPr>
          <t>Introduzca un número con dos decimales como máximo</t>
        </r>
      </text>
    </comment>
    <comment ref="F721" authorId="1" shapeId="0" xr:uid="{110DDEB5-5808-43B3-8FFA-8673FD884AF4}">
      <text>
        <r>
          <rPr>
            <sz val="11"/>
            <color theme="1"/>
            <rFont val="Calibri"/>
            <family val="2"/>
            <scheme val="minor"/>
          </rPr>
          <t>Monto calculado automáticamente por el sistema</t>
        </r>
      </text>
    </comment>
    <comment ref="A747" authorId="1" shapeId="0" xr:uid="{ADA8850C-5ED0-47C9-8A17-A74D255F15E4}">
      <text>
        <r>
          <rPr>
            <sz val="11"/>
            <color theme="1"/>
            <rFont val="Calibri"/>
            <family val="2"/>
            <scheme val="minor"/>
          </rPr>
          <t>Introducir un texto con el nombre o referencia de la contratación</t>
        </r>
      </text>
    </comment>
    <comment ref="B747" authorId="1" shapeId="0" xr:uid="{3FFF293C-CB51-4D44-A8E5-56449C123C50}">
      <text>
        <r>
          <rPr>
            <sz val="11"/>
            <color theme="1"/>
            <rFont val="Calibri"/>
            <family val="2"/>
            <scheme val="minor"/>
          </rPr>
          <t>Introduzca un texto con la finalidad de la contratación</t>
        </r>
      </text>
    </comment>
    <comment ref="C747" authorId="1" shapeId="0" xr:uid="{EB65F2C6-0B79-4879-BDB4-5659B2F164D5}">
      <text>
        <r>
          <rPr>
            <sz val="11"/>
            <color theme="1"/>
            <rFont val="Calibri"/>
            <family val="2"/>
            <scheme val="minor"/>
          </rPr>
          <t>Seleccionar un valor del listado</t>
        </r>
      </text>
    </comment>
    <comment ref="D747" authorId="1" shapeId="0" xr:uid="{25B04867-5D79-4DA7-B74D-3197AACA7632}">
      <text>
        <r>
          <rPr>
            <sz val="11"/>
            <color theme="1"/>
            <rFont val="Calibri"/>
            <family val="2"/>
            <scheme val="minor"/>
          </rPr>
          <t>Seleccione el tipo de procedimiento</t>
        </r>
      </text>
    </comment>
    <comment ref="E747" authorId="1" shapeId="0" xr:uid="{ADB93AAD-13C4-4C29-887D-99F40A2C6AB9}">
      <text>
        <r>
          <rPr>
            <sz val="11"/>
            <color theme="1"/>
            <rFont val="Calibri"/>
            <family val="2"/>
            <scheme val="minor"/>
          </rPr>
          <t>Seleccione un valor de la lista</t>
        </r>
      </text>
    </comment>
    <comment ref="F747" authorId="1" shapeId="0" xr:uid="{CAC5FF64-6D74-47CE-B9B6-E7FEF0549B1A}">
      <text>
        <r>
          <rPr>
            <sz val="11"/>
            <color theme="1"/>
            <rFont val="Calibri"/>
            <family val="2"/>
            <scheme val="minor"/>
          </rPr>
          <t>Introduzca el código SNIP</t>
        </r>
      </text>
    </comment>
    <comment ref="C748" authorId="1" shapeId="0" xr:uid="{347EC633-17A0-4D26-8A65-4CE4E2F9CB09}">
      <text>
        <r>
          <rPr>
            <sz val="11"/>
            <color theme="1"/>
            <rFont val="Calibri"/>
            <family val="2"/>
            <scheme val="minor"/>
          </rPr>
          <t>Introduzca la fecha de inicio del proceso, en formato dd-mm-aaaa</t>
        </r>
      </text>
    </comment>
    <comment ref="F748" authorId="1" shapeId="0" xr:uid="{66FB09CD-4378-4BAB-840B-7451E42B85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AD2626DC-4317-4B66-B8C6-718223E1E18D}">
      <text/>
    </comment>
    <comment ref="C750" authorId="1" shapeId="0" xr:uid="{D197DAC5-6138-4D1A-9B42-3C42E45AF656}">
      <text>
        <r>
          <rPr>
            <sz val="11"/>
            <color theme="1"/>
            <rFont val="Calibri"/>
            <family val="2"/>
            <scheme val="minor"/>
          </rPr>
          <t>Introduzca la fecha prevista de adjudicación, en formato dd-mm-aaaa</t>
        </r>
      </text>
    </comment>
    <comment ref="F750" authorId="1" shapeId="0" xr:uid="{726104EE-095F-4240-9551-7093910FB595}">
      <text/>
    </comment>
    <comment ref="F751" authorId="1" shapeId="0" xr:uid="{42A3BE19-F72A-44D4-BCF8-1F81E1189BED}">
      <text/>
    </comment>
    <comment ref="A753" authorId="1" shapeId="0" xr:uid="{E06ADF8E-2BF6-4F90-AA76-A85AB87774DA}">
      <text>
        <r>
          <rPr>
            <sz val="11"/>
            <color theme="1"/>
            <rFont val="Calibri"/>
            <family val="2"/>
            <scheme val="minor"/>
          </rPr>
          <t>Introduzca un codigo UNSPSC</t>
        </r>
      </text>
    </comment>
    <comment ref="B753" authorId="1" shapeId="0" xr:uid="{4E3D77F8-B70F-4A7B-BF15-106A1B113134}">
      <text>
        <r>
          <rPr>
            <sz val="11"/>
            <color theme="1"/>
            <rFont val="Calibri"/>
            <family val="2"/>
            <scheme val="minor"/>
          </rPr>
          <t>Descripción calculada automáticamente a partir de código del artículo</t>
        </r>
      </text>
    </comment>
    <comment ref="C753" authorId="1" shapeId="0" xr:uid="{C53EF234-BE5D-4877-98AF-A10A5AA0F75D}">
      <text>
        <r>
          <rPr>
            <sz val="11"/>
            <color theme="1"/>
            <rFont val="Calibri"/>
            <family val="2"/>
            <scheme val="minor"/>
          </rPr>
          <t>Seleccione un valor de la lista</t>
        </r>
      </text>
    </comment>
    <comment ref="D753" authorId="1" shapeId="0" xr:uid="{ACAEF3E5-978D-4065-8F98-239CBF851C9D}">
      <text>
        <r>
          <rPr>
            <sz val="11"/>
            <color theme="1"/>
            <rFont val="Calibri"/>
            <family val="2"/>
            <scheme val="minor"/>
          </rPr>
          <t>Introduzca un número con dos decimales como máximo. Debe ser igual o mayor a la "Cantidad Real Consumida"</t>
        </r>
      </text>
    </comment>
    <comment ref="E753" authorId="1" shapeId="0" xr:uid="{2F0216FB-B9A1-42A6-91F7-270A171C5B63}">
      <text>
        <r>
          <rPr>
            <sz val="11"/>
            <color theme="1"/>
            <rFont val="Calibri"/>
            <family val="2"/>
            <scheme val="minor"/>
          </rPr>
          <t>Introduzca un número con dos decimales como máximo</t>
        </r>
      </text>
    </comment>
    <comment ref="F753" authorId="1" shapeId="0" xr:uid="{FB5F624A-693B-451E-8D21-456E1977DD33}">
      <text>
        <r>
          <rPr>
            <sz val="11"/>
            <color theme="1"/>
            <rFont val="Calibri"/>
            <family val="2"/>
            <scheme val="minor"/>
          </rPr>
          <t>Monto calculado automáticamente por el sistema</t>
        </r>
      </text>
    </comment>
    <comment ref="A766" authorId="1" shapeId="0" xr:uid="{232BB6DD-4970-4613-9057-BAF3776A28DA}">
      <text>
        <r>
          <rPr>
            <sz val="11"/>
            <color theme="1"/>
            <rFont val="Calibri"/>
            <family val="2"/>
            <scheme val="minor"/>
          </rPr>
          <t>Introducir un texto con el nombre o referencia de la contratación</t>
        </r>
      </text>
    </comment>
    <comment ref="B766" authorId="1" shapeId="0" xr:uid="{845953EF-831E-4DE8-A2BA-75BCC9D9C898}">
      <text>
        <r>
          <rPr>
            <sz val="11"/>
            <color theme="1"/>
            <rFont val="Calibri"/>
            <family val="2"/>
            <scheme val="minor"/>
          </rPr>
          <t>Introduzca un texto con la finalidad de la contratación</t>
        </r>
      </text>
    </comment>
    <comment ref="C766" authorId="1" shapeId="0" xr:uid="{F9A2B44F-A011-4334-A673-AF7D448D338F}">
      <text>
        <r>
          <rPr>
            <sz val="11"/>
            <color theme="1"/>
            <rFont val="Calibri"/>
            <family val="2"/>
            <scheme val="minor"/>
          </rPr>
          <t>Seleccionar un valor del listado</t>
        </r>
      </text>
    </comment>
    <comment ref="D766" authorId="1" shapeId="0" xr:uid="{D6F0A78E-6E5B-4D91-B8F4-50F5F3DAD260}">
      <text>
        <r>
          <rPr>
            <sz val="11"/>
            <color theme="1"/>
            <rFont val="Calibri"/>
            <family val="2"/>
            <scheme val="minor"/>
          </rPr>
          <t>Seleccione el tipo de procedimiento</t>
        </r>
      </text>
    </comment>
    <comment ref="E766" authorId="1" shapeId="0" xr:uid="{B1BD3037-C830-4D00-A4F6-29038F5596B5}">
      <text>
        <r>
          <rPr>
            <sz val="11"/>
            <color theme="1"/>
            <rFont val="Calibri"/>
            <family val="2"/>
            <scheme val="minor"/>
          </rPr>
          <t>Seleccione un valor de la lista</t>
        </r>
      </text>
    </comment>
    <comment ref="F766" authorId="1" shapeId="0" xr:uid="{E8C40B35-5E99-43DE-9F28-0EC8E2FFBB38}">
      <text>
        <r>
          <rPr>
            <sz val="11"/>
            <color theme="1"/>
            <rFont val="Calibri"/>
            <family val="2"/>
            <scheme val="minor"/>
          </rPr>
          <t>Introduzca el código SNIP</t>
        </r>
      </text>
    </comment>
    <comment ref="C767" authorId="1" shapeId="0" xr:uid="{81D5FC42-8A61-4F98-A3ED-84CF7CD0881A}">
      <text>
        <r>
          <rPr>
            <sz val="11"/>
            <color theme="1"/>
            <rFont val="Calibri"/>
            <family val="2"/>
            <scheme val="minor"/>
          </rPr>
          <t>Introduzca la fecha de inicio del proceso, en formato dd-mm-aaaa</t>
        </r>
      </text>
    </comment>
    <comment ref="F767" authorId="1" shapeId="0" xr:uid="{676E5158-F0E7-4BE7-A296-5284473585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333439BF-CF7C-4254-A5CC-C75A8C2E33BE}">
      <text/>
    </comment>
    <comment ref="C769" authorId="1" shapeId="0" xr:uid="{6F2EF196-4F6B-4F1D-842D-AADA8538BAAF}">
      <text>
        <r>
          <rPr>
            <sz val="11"/>
            <color theme="1"/>
            <rFont val="Calibri"/>
            <family val="2"/>
            <scheme val="minor"/>
          </rPr>
          <t>Introduzca la fecha prevista de adjudicación, en formato dd-mm-aaaa</t>
        </r>
      </text>
    </comment>
    <comment ref="F769" authorId="1" shapeId="0" xr:uid="{D0D6E30E-94D4-46F9-9FF1-D1343FFA3DE2}">
      <text/>
    </comment>
    <comment ref="F770" authorId="1" shapeId="0" xr:uid="{0746D9C8-3EB3-4273-A71F-F24C3E86AA58}">
      <text/>
    </comment>
    <comment ref="A772" authorId="1" shapeId="0" xr:uid="{EEA22C46-6694-43F2-8AD4-46DB4E356748}">
      <text>
        <r>
          <rPr>
            <sz val="11"/>
            <color theme="1"/>
            <rFont val="Calibri"/>
            <family val="2"/>
            <scheme val="minor"/>
          </rPr>
          <t>Introduzca un codigo UNSPSC</t>
        </r>
      </text>
    </comment>
    <comment ref="B772" authorId="1" shapeId="0" xr:uid="{68FB4F23-EC47-455F-B17E-B7D876454A83}">
      <text>
        <r>
          <rPr>
            <sz val="11"/>
            <color theme="1"/>
            <rFont val="Calibri"/>
            <family val="2"/>
            <scheme val="minor"/>
          </rPr>
          <t>Descripción calculada automáticamente a partir de código del artículo</t>
        </r>
      </text>
    </comment>
    <comment ref="C772" authorId="1" shapeId="0" xr:uid="{49C1D2FB-AED9-4697-9EF0-A53D72616D2D}">
      <text>
        <r>
          <rPr>
            <sz val="11"/>
            <color theme="1"/>
            <rFont val="Calibri"/>
            <family val="2"/>
            <scheme val="minor"/>
          </rPr>
          <t>Seleccione un valor de la lista</t>
        </r>
      </text>
    </comment>
    <comment ref="D772" authorId="1" shapeId="0" xr:uid="{783A1A43-ABD0-426F-A3D7-527719075A56}">
      <text>
        <r>
          <rPr>
            <sz val="11"/>
            <color theme="1"/>
            <rFont val="Calibri"/>
            <family val="2"/>
            <scheme val="minor"/>
          </rPr>
          <t>Introduzca un número con dos decimales como máximo. Debe ser igual o mayor a la "Cantidad Real Consumida"</t>
        </r>
      </text>
    </comment>
    <comment ref="E772" authorId="1" shapeId="0" xr:uid="{5490DABE-1F7A-482C-982D-7E2151DB8E5F}">
      <text>
        <r>
          <rPr>
            <sz val="11"/>
            <color theme="1"/>
            <rFont val="Calibri"/>
            <family val="2"/>
            <scheme val="minor"/>
          </rPr>
          <t>Introduzca un número con dos decimales como máximo</t>
        </r>
      </text>
    </comment>
    <comment ref="F772" authorId="1" shapeId="0" xr:uid="{7FF55379-D67C-4CBE-B43F-FA987407D5BB}">
      <text>
        <r>
          <rPr>
            <sz val="11"/>
            <color theme="1"/>
            <rFont val="Calibri"/>
            <family val="2"/>
            <scheme val="minor"/>
          </rPr>
          <t>Monto calculado automáticamente por el sistema</t>
        </r>
      </text>
    </comment>
    <comment ref="A789" authorId="1" shapeId="0" xr:uid="{D8962AEB-127B-4700-878F-4D4A0C0E5F97}">
      <text>
        <r>
          <rPr>
            <sz val="11"/>
            <color theme="1"/>
            <rFont val="Calibri"/>
            <family val="2"/>
            <scheme val="minor"/>
          </rPr>
          <t>Introducir un texto con el nombre o referencia de la contratación</t>
        </r>
      </text>
    </comment>
    <comment ref="B789" authorId="1" shapeId="0" xr:uid="{E6C243BD-A7FC-46B4-B17E-FB42DBA2198E}">
      <text>
        <r>
          <rPr>
            <sz val="11"/>
            <color theme="1"/>
            <rFont val="Calibri"/>
            <family val="2"/>
            <scheme val="minor"/>
          </rPr>
          <t>Introduzca un texto con la finalidad de la contratación</t>
        </r>
      </text>
    </comment>
    <comment ref="C789" authorId="1" shapeId="0" xr:uid="{E7B34DEA-E855-4DC9-A633-73F1BC43EA1A}">
      <text>
        <r>
          <rPr>
            <sz val="11"/>
            <color theme="1"/>
            <rFont val="Calibri"/>
            <family val="2"/>
            <scheme val="minor"/>
          </rPr>
          <t>Seleccionar un valor del listado</t>
        </r>
      </text>
    </comment>
    <comment ref="D789" authorId="1" shapeId="0" xr:uid="{9C26B489-1DD7-47A2-BB08-4C66D9D8F2D0}">
      <text>
        <r>
          <rPr>
            <sz val="11"/>
            <color theme="1"/>
            <rFont val="Calibri"/>
            <family val="2"/>
            <scheme val="minor"/>
          </rPr>
          <t>Seleccione el tipo de procedimiento</t>
        </r>
      </text>
    </comment>
    <comment ref="E789" authorId="1" shapeId="0" xr:uid="{806C85EB-E96E-48B7-A6C3-0FD699AD737B}">
      <text>
        <r>
          <rPr>
            <sz val="11"/>
            <color theme="1"/>
            <rFont val="Calibri"/>
            <family val="2"/>
            <scheme val="minor"/>
          </rPr>
          <t>Seleccione un valor de la lista</t>
        </r>
      </text>
    </comment>
    <comment ref="F789" authorId="1" shapeId="0" xr:uid="{F14AB93E-C010-43A9-A1FC-1F502D313B6F}">
      <text>
        <r>
          <rPr>
            <sz val="11"/>
            <color theme="1"/>
            <rFont val="Calibri"/>
            <family val="2"/>
            <scheme val="minor"/>
          </rPr>
          <t>Introduzca el código SNIP</t>
        </r>
      </text>
    </comment>
    <comment ref="C790" authorId="1" shapeId="0" xr:uid="{7F1157EF-F81A-4188-A2DA-57D5E1EFB602}">
      <text>
        <r>
          <rPr>
            <sz val="11"/>
            <color theme="1"/>
            <rFont val="Calibri"/>
            <family val="2"/>
            <scheme val="minor"/>
          </rPr>
          <t>Introduzca la fecha de inicio del proceso, en formato dd-mm-aaaa</t>
        </r>
      </text>
    </comment>
    <comment ref="F790" authorId="1" shapeId="0" xr:uid="{B17B1B0A-170D-450A-B69F-BFA356A5894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1" authorId="1" shapeId="0" xr:uid="{3F52FB4A-8DD6-4240-9A68-81F49B27A392}">
      <text/>
    </comment>
    <comment ref="C792" authorId="1" shapeId="0" xr:uid="{F80352FB-A223-4A03-95F6-C1D25AFA2700}">
      <text>
        <r>
          <rPr>
            <sz val="11"/>
            <color theme="1"/>
            <rFont val="Calibri"/>
            <family val="2"/>
            <scheme val="minor"/>
          </rPr>
          <t>Introduzca la fecha prevista de adjudicación, en formato dd-mm-aaaa</t>
        </r>
      </text>
    </comment>
    <comment ref="F792" authorId="1" shapeId="0" xr:uid="{EB31EB1F-F248-41E0-B8E0-4A39F93B567C}">
      <text/>
    </comment>
    <comment ref="F793" authorId="1" shapeId="0" xr:uid="{93EB42D6-9C3A-4B3F-9CAD-35E5E924C75B}">
      <text/>
    </comment>
    <comment ref="A795" authorId="1" shapeId="0" xr:uid="{4453D10A-6036-4142-B47C-153E7A632DB6}">
      <text>
        <r>
          <rPr>
            <sz val="11"/>
            <color theme="1"/>
            <rFont val="Calibri"/>
            <family val="2"/>
            <scheme val="minor"/>
          </rPr>
          <t>Introduzca un codigo UNSPSC</t>
        </r>
      </text>
    </comment>
    <comment ref="B795" authorId="1" shapeId="0" xr:uid="{F3251C8D-9740-48AA-AF46-E7A3511AD4BE}">
      <text>
        <r>
          <rPr>
            <sz val="11"/>
            <color theme="1"/>
            <rFont val="Calibri"/>
            <family val="2"/>
            <scheme val="minor"/>
          </rPr>
          <t>Descripción calculada automáticamente a partir de código del artículo</t>
        </r>
      </text>
    </comment>
    <comment ref="C795" authorId="1" shapeId="0" xr:uid="{2B060958-2257-481F-B8D7-94CA22064BC4}">
      <text>
        <r>
          <rPr>
            <sz val="11"/>
            <color theme="1"/>
            <rFont val="Calibri"/>
            <family val="2"/>
            <scheme val="minor"/>
          </rPr>
          <t>Seleccione un valor de la lista</t>
        </r>
      </text>
    </comment>
    <comment ref="D795" authorId="1" shapeId="0" xr:uid="{CCD782B1-F079-4AED-8D6F-EE58C5FCEC5F}">
      <text>
        <r>
          <rPr>
            <sz val="11"/>
            <color theme="1"/>
            <rFont val="Calibri"/>
            <family val="2"/>
            <scheme val="minor"/>
          </rPr>
          <t>Introduzca un número con dos decimales como máximo. Debe ser igual o mayor a la "Cantidad Real Consumida"</t>
        </r>
      </text>
    </comment>
    <comment ref="E795" authorId="1" shapeId="0" xr:uid="{56562951-3AA5-48A6-8AC5-0241C038FAA1}">
      <text>
        <r>
          <rPr>
            <sz val="11"/>
            <color theme="1"/>
            <rFont val="Calibri"/>
            <family val="2"/>
            <scheme val="minor"/>
          </rPr>
          <t>Introduzca un número con dos decimales como máximo</t>
        </r>
      </text>
    </comment>
    <comment ref="F795" authorId="1" shapeId="0" xr:uid="{2C7E3219-7D3B-4B6F-B861-49B09F72FF97}">
      <text>
        <r>
          <rPr>
            <sz val="11"/>
            <color theme="1"/>
            <rFont val="Calibri"/>
            <family val="2"/>
            <scheme val="minor"/>
          </rPr>
          <t>Monto calculado automáticamente por el sistema</t>
        </r>
      </text>
    </comment>
    <comment ref="A818" authorId="1" shapeId="0" xr:uid="{E7E6ED1F-AF04-4EB2-AAC9-029360B6738A}">
      <text>
        <r>
          <rPr>
            <sz val="11"/>
            <color theme="1"/>
            <rFont val="Calibri"/>
            <family val="2"/>
            <scheme val="minor"/>
          </rPr>
          <t>Introducir un texto con el nombre o referencia de la contratación</t>
        </r>
      </text>
    </comment>
    <comment ref="B818" authorId="1" shapeId="0" xr:uid="{5E292E3C-A300-48FE-9399-1B41E3881C60}">
      <text>
        <r>
          <rPr>
            <sz val="11"/>
            <color theme="1"/>
            <rFont val="Calibri"/>
            <family val="2"/>
            <scheme val="minor"/>
          </rPr>
          <t>Introduzca un texto con la finalidad de la contratación</t>
        </r>
      </text>
    </comment>
    <comment ref="C818" authorId="1" shapeId="0" xr:uid="{8CADA107-DC07-4287-A468-3B3CCD50FC65}">
      <text>
        <r>
          <rPr>
            <sz val="11"/>
            <color theme="1"/>
            <rFont val="Calibri"/>
            <family val="2"/>
            <scheme val="minor"/>
          </rPr>
          <t>Seleccionar un valor del listado</t>
        </r>
      </text>
    </comment>
    <comment ref="D818" authorId="1" shapeId="0" xr:uid="{08C1B1EA-B3B5-41BE-B16E-0BBEB9457CFC}">
      <text>
        <r>
          <rPr>
            <sz val="11"/>
            <color theme="1"/>
            <rFont val="Calibri"/>
            <family val="2"/>
            <scheme val="minor"/>
          </rPr>
          <t>Seleccione el tipo de procedimiento</t>
        </r>
      </text>
    </comment>
    <comment ref="E818" authorId="1" shapeId="0" xr:uid="{71569E1F-262B-4BB5-87E9-95C62804E533}">
      <text>
        <r>
          <rPr>
            <sz val="11"/>
            <color theme="1"/>
            <rFont val="Calibri"/>
            <family val="2"/>
            <scheme val="minor"/>
          </rPr>
          <t>Seleccione un valor de la lista</t>
        </r>
      </text>
    </comment>
    <comment ref="F818" authorId="1" shapeId="0" xr:uid="{3C631E68-CDB9-4DE4-AEFE-7E6764CA11AE}">
      <text>
        <r>
          <rPr>
            <sz val="11"/>
            <color theme="1"/>
            <rFont val="Calibri"/>
            <family val="2"/>
            <scheme val="minor"/>
          </rPr>
          <t>Introduzca el código SNIP</t>
        </r>
      </text>
    </comment>
    <comment ref="C819" authorId="1" shapeId="0" xr:uid="{65787074-4210-4FC7-90D8-99ABAA27E840}">
      <text>
        <r>
          <rPr>
            <sz val="11"/>
            <color theme="1"/>
            <rFont val="Calibri"/>
            <family val="2"/>
            <scheme val="minor"/>
          </rPr>
          <t>Introduzca la fecha de inicio del proceso, en formato dd-mm-aaaa</t>
        </r>
      </text>
    </comment>
    <comment ref="F819" authorId="1" shapeId="0" xr:uid="{76A0C601-D900-4223-B1EE-4E77C3EDEC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7984703E-FB6D-4E64-9A64-566F91FD32DE}">
      <text/>
    </comment>
    <comment ref="C821" authorId="1" shapeId="0" xr:uid="{045E4018-EAE4-4050-ADB0-CAF6B12BF4FB}">
      <text>
        <r>
          <rPr>
            <sz val="11"/>
            <color theme="1"/>
            <rFont val="Calibri"/>
            <family val="2"/>
            <scheme val="minor"/>
          </rPr>
          <t>Introduzca la fecha prevista de adjudicación, en formato dd-mm-aaaa</t>
        </r>
      </text>
    </comment>
    <comment ref="F821" authorId="1" shapeId="0" xr:uid="{62E7D1BF-FA8B-49FA-B442-4125D2284C12}">
      <text/>
    </comment>
    <comment ref="F822" authorId="1" shapeId="0" xr:uid="{23FE5423-4FD3-4595-8DE0-F4DFEFC82E35}">
      <text/>
    </comment>
    <comment ref="A824" authorId="1" shapeId="0" xr:uid="{53DAC60F-4A72-49E3-BFA6-7BB510CA0CB6}">
      <text>
        <r>
          <rPr>
            <sz val="11"/>
            <color theme="1"/>
            <rFont val="Calibri"/>
            <family val="2"/>
            <scheme val="minor"/>
          </rPr>
          <t>Introduzca un codigo UNSPSC</t>
        </r>
      </text>
    </comment>
    <comment ref="B824" authorId="1" shapeId="0" xr:uid="{1FCB5D7E-84AA-4F89-82FD-D15987D62E79}">
      <text>
        <r>
          <rPr>
            <sz val="11"/>
            <color theme="1"/>
            <rFont val="Calibri"/>
            <family val="2"/>
            <scheme val="minor"/>
          </rPr>
          <t>Descripción calculada automáticamente a partir de código del artículo</t>
        </r>
      </text>
    </comment>
    <comment ref="C824" authorId="1" shapeId="0" xr:uid="{A6B20986-0ACF-4688-BC24-AC81F9F79517}">
      <text>
        <r>
          <rPr>
            <sz val="11"/>
            <color theme="1"/>
            <rFont val="Calibri"/>
            <family val="2"/>
            <scheme val="minor"/>
          </rPr>
          <t>Seleccione un valor de la lista</t>
        </r>
      </text>
    </comment>
    <comment ref="D824" authorId="1" shapeId="0" xr:uid="{2E5BB56D-F8D6-41B0-B807-BD83E757D454}">
      <text>
        <r>
          <rPr>
            <sz val="11"/>
            <color theme="1"/>
            <rFont val="Calibri"/>
            <family val="2"/>
            <scheme val="minor"/>
          </rPr>
          <t>Introduzca un número con dos decimales como máximo. Debe ser igual o mayor a la "Cantidad Real Consumida"</t>
        </r>
      </text>
    </comment>
    <comment ref="E824" authorId="1" shapeId="0" xr:uid="{E5D56443-B759-47E6-BC39-41761D0D5CF5}">
      <text>
        <r>
          <rPr>
            <sz val="11"/>
            <color theme="1"/>
            <rFont val="Calibri"/>
            <family val="2"/>
            <scheme val="minor"/>
          </rPr>
          <t>Introduzca un número con dos decimales como máximo</t>
        </r>
      </text>
    </comment>
    <comment ref="F824" authorId="1" shapeId="0" xr:uid="{DAD6CE62-050A-448A-AA82-6A120CF1AA5D}">
      <text>
        <r>
          <rPr>
            <sz val="11"/>
            <color theme="1"/>
            <rFont val="Calibri"/>
            <family val="2"/>
            <scheme val="minor"/>
          </rPr>
          <t>Monto calculado automáticamente por el sistema</t>
        </r>
      </text>
    </comment>
    <comment ref="A838" authorId="1" shapeId="0" xr:uid="{18D38C17-42CC-4EF6-A856-786D8176ACF4}">
      <text>
        <r>
          <rPr>
            <sz val="11"/>
            <color theme="1"/>
            <rFont val="Calibri"/>
            <family val="2"/>
            <scheme val="minor"/>
          </rPr>
          <t>Introducir un texto con el nombre o referencia de la contratación</t>
        </r>
      </text>
    </comment>
    <comment ref="B838" authorId="1" shapeId="0" xr:uid="{92511DC1-D560-4F8A-996E-A5ED9ADC51A0}">
      <text>
        <r>
          <rPr>
            <sz val="11"/>
            <color theme="1"/>
            <rFont val="Calibri"/>
            <family val="2"/>
            <scheme val="minor"/>
          </rPr>
          <t>Introduzca un texto con la finalidad de la contratación</t>
        </r>
      </text>
    </comment>
    <comment ref="C838" authorId="1" shapeId="0" xr:uid="{54A4B8AA-252C-4EB0-8B06-615FA0608586}">
      <text>
        <r>
          <rPr>
            <sz val="11"/>
            <color theme="1"/>
            <rFont val="Calibri"/>
            <family val="2"/>
            <scheme val="minor"/>
          </rPr>
          <t>Seleccionar un valor del listado</t>
        </r>
      </text>
    </comment>
    <comment ref="D838" authorId="1" shapeId="0" xr:uid="{7F6A9530-0D18-4686-9A6D-4AF0172C15CB}">
      <text>
        <r>
          <rPr>
            <sz val="11"/>
            <color theme="1"/>
            <rFont val="Calibri"/>
            <family val="2"/>
            <scheme val="minor"/>
          </rPr>
          <t>Seleccione el tipo de procedimiento</t>
        </r>
      </text>
    </comment>
    <comment ref="E838" authorId="1" shapeId="0" xr:uid="{89E0B973-ECA2-44A0-BE20-94448D5DD62C}">
      <text>
        <r>
          <rPr>
            <sz val="11"/>
            <color theme="1"/>
            <rFont val="Calibri"/>
            <family val="2"/>
            <scheme val="minor"/>
          </rPr>
          <t>Seleccione un valor de la lista</t>
        </r>
      </text>
    </comment>
    <comment ref="F838" authorId="1" shapeId="0" xr:uid="{27894291-6BBB-4B09-B330-2FFEB0404DE6}">
      <text>
        <r>
          <rPr>
            <sz val="11"/>
            <color theme="1"/>
            <rFont val="Calibri"/>
            <family val="2"/>
            <scheme val="minor"/>
          </rPr>
          <t>Introduzca el código SNIP</t>
        </r>
      </text>
    </comment>
    <comment ref="C839" authorId="1" shapeId="0" xr:uid="{7D5F72AD-0890-4CA2-A0ED-7911C625F434}">
      <text>
        <r>
          <rPr>
            <sz val="11"/>
            <color theme="1"/>
            <rFont val="Calibri"/>
            <family val="2"/>
            <scheme val="minor"/>
          </rPr>
          <t>Introduzca la fecha de inicio del proceso, en formato dd-mm-aaaa</t>
        </r>
      </text>
    </comment>
    <comment ref="F839" authorId="1" shapeId="0" xr:uid="{636ABBB3-222D-422D-B62F-3866686793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1" shapeId="0" xr:uid="{8641B39E-64A2-4AEA-A20F-638430DC600A}">
      <text/>
    </comment>
    <comment ref="C841" authorId="1" shapeId="0" xr:uid="{1C0F92A7-289C-485E-BD85-581B17518D1B}">
      <text>
        <r>
          <rPr>
            <sz val="11"/>
            <color theme="1"/>
            <rFont val="Calibri"/>
            <family val="2"/>
            <scheme val="minor"/>
          </rPr>
          <t>Introduzca la fecha prevista de adjudicación, en formato dd-mm-aaaa</t>
        </r>
      </text>
    </comment>
    <comment ref="F841" authorId="1" shapeId="0" xr:uid="{1DC1F329-D8B6-4A2A-8EF1-7398B2B098F3}">
      <text/>
    </comment>
    <comment ref="F842" authorId="1" shapeId="0" xr:uid="{707D0BC0-4B9D-4496-B1C8-58A182C857E6}">
      <text/>
    </comment>
    <comment ref="A844" authorId="1" shapeId="0" xr:uid="{4318D3DB-79D0-4CCA-995D-B6AD58F8C73B}">
      <text>
        <r>
          <rPr>
            <sz val="11"/>
            <color theme="1"/>
            <rFont val="Calibri"/>
            <family val="2"/>
            <scheme val="minor"/>
          </rPr>
          <t>Introduzca un codigo UNSPSC</t>
        </r>
      </text>
    </comment>
    <comment ref="B844" authorId="1" shapeId="0" xr:uid="{A5B2D3F4-89A5-4E76-845C-5C67EE396A01}">
      <text>
        <r>
          <rPr>
            <sz val="11"/>
            <color theme="1"/>
            <rFont val="Calibri"/>
            <family val="2"/>
            <scheme val="minor"/>
          </rPr>
          <t>Descripción calculada automáticamente a partir de código del artículo</t>
        </r>
      </text>
    </comment>
    <comment ref="C844" authorId="1" shapeId="0" xr:uid="{E3D55A98-833F-48DD-AED9-C628E2C8FE19}">
      <text>
        <r>
          <rPr>
            <sz val="11"/>
            <color theme="1"/>
            <rFont val="Calibri"/>
            <family val="2"/>
            <scheme val="minor"/>
          </rPr>
          <t>Seleccione un valor de la lista</t>
        </r>
      </text>
    </comment>
    <comment ref="D844" authorId="1" shapeId="0" xr:uid="{FE45CA57-4001-48A9-B2AC-D1203B775C6F}">
      <text>
        <r>
          <rPr>
            <sz val="11"/>
            <color theme="1"/>
            <rFont val="Calibri"/>
            <family val="2"/>
            <scheme val="minor"/>
          </rPr>
          <t>Introduzca un número con dos decimales como máximo. Debe ser igual o mayor a la "Cantidad Real Consumida"</t>
        </r>
      </text>
    </comment>
    <comment ref="E844" authorId="1" shapeId="0" xr:uid="{CFFDCC92-1F91-41D4-8046-3F67FD7E876D}">
      <text>
        <r>
          <rPr>
            <sz val="11"/>
            <color theme="1"/>
            <rFont val="Calibri"/>
            <family val="2"/>
            <scheme val="minor"/>
          </rPr>
          <t>Introduzca un número con dos decimales como máximo</t>
        </r>
      </text>
    </comment>
    <comment ref="F844" authorId="1" shapeId="0" xr:uid="{5FC0CA27-279D-43C1-BEE3-4720DE659640}">
      <text>
        <r>
          <rPr>
            <sz val="11"/>
            <color theme="1"/>
            <rFont val="Calibri"/>
            <family val="2"/>
            <scheme val="minor"/>
          </rPr>
          <t>Monto calculado automáticamente por el sistema</t>
        </r>
      </text>
    </comment>
    <comment ref="A865" authorId="1" shapeId="0" xr:uid="{10F3AAF3-6B44-48CA-83D6-DF3BC70C9821}">
      <text>
        <r>
          <rPr>
            <sz val="11"/>
            <color theme="1"/>
            <rFont val="Calibri"/>
            <family val="2"/>
            <scheme val="minor"/>
          </rPr>
          <t>Introducir un texto con el nombre o referencia de la contratación</t>
        </r>
      </text>
    </comment>
    <comment ref="B865" authorId="1" shapeId="0" xr:uid="{C78D48A3-E1F4-4DAC-A7A3-1099EB2F6C5F}">
      <text>
        <r>
          <rPr>
            <sz val="11"/>
            <color theme="1"/>
            <rFont val="Calibri"/>
            <family val="2"/>
            <scheme val="minor"/>
          </rPr>
          <t>Introduzca un texto con la finalidad de la contratación</t>
        </r>
      </text>
    </comment>
    <comment ref="C865" authorId="1" shapeId="0" xr:uid="{23D86636-A873-4C7E-8361-345907671C1F}">
      <text>
        <r>
          <rPr>
            <sz val="11"/>
            <color theme="1"/>
            <rFont val="Calibri"/>
            <family val="2"/>
            <scheme val="minor"/>
          </rPr>
          <t>Seleccionar un valor del listado</t>
        </r>
      </text>
    </comment>
    <comment ref="D865" authorId="1" shapeId="0" xr:uid="{FA10979A-9BA5-46C6-A059-DCD2A0D9EEAF}">
      <text>
        <r>
          <rPr>
            <sz val="11"/>
            <color theme="1"/>
            <rFont val="Calibri"/>
            <family val="2"/>
            <scheme val="minor"/>
          </rPr>
          <t>Seleccione el tipo de procedimiento</t>
        </r>
      </text>
    </comment>
    <comment ref="E865" authorId="1" shapeId="0" xr:uid="{A392836E-C9F8-4162-8CFA-889F62A05C16}">
      <text>
        <r>
          <rPr>
            <sz val="11"/>
            <color theme="1"/>
            <rFont val="Calibri"/>
            <family val="2"/>
            <scheme val="minor"/>
          </rPr>
          <t>Seleccione un valor de la lista</t>
        </r>
      </text>
    </comment>
    <comment ref="F865" authorId="1" shapeId="0" xr:uid="{2C810CCD-A3F1-4A07-9146-D172FF696B91}">
      <text>
        <r>
          <rPr>
            <sz val="11"/>
            <color theme="1"/>
            <rFont val="Calibri"/>
            <family val="2"/>
            <scheme val="minor"/>
          </rPr>
          <t>Introduzca el código SNIP</t>
        </r>
      </text>
    </comment>
    <comment ref="C866" authorId="1" shapeId="0" xr:uid="{B46907AC-1361-4D5A-8F9F-88395A57A57F}">
      <text>
        <r>
          <rPr>
            <sz val="11"/>
            <color theme="1"/>
            <rFont val="Calibri"/>
            <family val="2"/>
            <scheme val="minor"/>
          </rPr>
          <t>Introduzca la fecha de inicio del proceso, en formato dd-mm-aaaa</t>
        </r>
      </text>
    </comment>
    <comment ref="F866" authorId="1" shapeId="0" xr:uid="{889FE8CC-91D2-40F2-87ED-401DB8110B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7" authorId="1" shapeId="0" xr:uid="{A3F0291C-11E0-4E4F-8707-7E1A0C04CDE7}">
      <text/>
    </comment>
    <comment ref="C868" authorId="1" shapeId="0" xr:uid="{9EB806C5-6413-4F83-A811-F3158DA093B1}">
      <text>
        <r>
          <rPr>
            <sz val="11"/>
            <color theme="1"/>
            <rFont val="Calibri"/>
            <family val="2"/>
            <scheme val="minor"/>
          </rPr>
          <t>Introduzca la fecha prevista de adjudicación, en formato dd-mm-aaaa</t>
        </r>
      </text>
    </comment>
    <comment ref="F868" authorId="1" shapeId="0" xr:uid="{B804BE71-CB28-40B9-B60F-2093A5F30A28}">
      <text/>
    </comment>
    <comment ref="F869" authorId="1" shapeId="0" xr:uid="{FC64E69D-0750-49FC-8282-DF700DAA9158}">
      <text/>
    </comment>
    <comment ref="A871" authorId="1" shapeId="0" xr:uid="{491CBE77-7F03-4910-A86D-546E6E7446AF}">
      <text>
        <r>
          <rPr>
            <sz val="11"/>
            <color theme="1"/>
            <rFont val="Calibri"/>
            <family val="2"/>
            <scheme val="minor"/>
          </rPr>
          <t>Introduzca un codigo UNSPSC</t>
        </r>
      </text>
    </comment>
    <comment ref="B871" authorId="1" shapeId="0" xr:uid="{D64D545D-3853-40C7-A99E-C81979D35FE9}">
      <text>
        <r>
          <rPr>
            <sz val="11"/>
            <color theme="1"/>
            <rFont val="Calibri"/>
            <family val="2"/>
            <scheme val="minor"/>
          </rPr>
          <t>Descripción calculada automáticamente a partir de código del artículo</t>
        </r>
      </text>
    </comment>
    <comment ref="C871" authorId="1" shapeId="0" xr:uid="{6638A9A5-FFED-435C-A8D7-37FAF539EDF9}">
      <text>
        <r>
          <rPr>
            <sz val="11"/>
            <color theme="1"/>
            <rFont val="Calibri"/>
            <family val="2"/>
            <scheme val="minor"/>
          </rPr>
          <t>Seleccione un valor de la lista</t>
        </r>
      </text>
    </comment>
    <comment ref="D871" authorId="1" shapeId="0" xr:uid="{867EB1F4-4DA3-49BE-9668-0F278296A7A2}">
      <text>
        <r>
          <rPr>
            <sz val="11"/>
            <color theme="1"/>
            <rFont val="Calibri"/>
            <family val="2"/>
            <scheme val="minor"/>
          </rPr>
          <t>Introduzca un número con dos decimales como máximo. Debe ser igual o mayor a la "Cantidad Real Consumida"</t>
        </r>
      </text>
    </comment>
    <comment ref="E871" authorId="1" shapeId="0" xr:uid="{B1EEF3B3-DAC8-4AD8-B1C2-A7AC8EC106B4}">
      <text>
        <r>
          <rPr>
            <sz val="11"/>
            <color theme="1"/>
            <rFont val="Calibri"/>
            <family val="2"/>
            <scheme val="minor"/>
          </rPr>
          <t>Introduzca un número con dos decimales como máximo</t>
        </r>
      </text>
    </comment>
    <comment ref="F871" authorId="1" shapeId="0" xr:uid="{206C322E-872A-4014-9294-A4420E30419F}">
      <text>
        <r>
          <rPr>
            <sz val="11"/>
            <color theme="1"/>
            <rFont val="Calibri"/>
            <family val="2"/>
            <scheme val="minor"/>
          </rPr>
          <t>Monto calculado automáticamente por el sistema</t>
        </r>
      </text>
    </comment>
    <comment ref="A887" authorId="1" shapeId="0" xr:uid="{C95E3FAE-D6A1-4B32-94DE-8C2D9C3D6935}">
      <text>
        <r>
          <rPr>
            <sz val="11"/>
            <color theme="1"/>
            <rFont val="Calibri"/>
            <family val="2"/>
            <scheme val="minor"/>
          </rPr>
          <t>Introducir un texto con el nombre o referencia de la contratación</t>
        </r>
      </text>
    </comment>
    <comment ref="B887" authorId="1" shapeId="0" xr:uid="{1577C8FE-5F18-44E8-B5BC-55672D38A45C}">
      <text>
        <r>
          <rPr>
            <sz val="11"/>
            <color theme="1"/>
            <rFont val="Calibri"/>
            <family val="2"/>
            <scheme val="minor"/>
          </rPr>
          <t>Introduzca un texto con la finalidad de la contratación</t>
        </r>
      </text>
    </comment>
    <comment ref="C887" authorId="1" shapeId="0" xr:uid="{752DAA15-5589-4AF5-B42D-ABC3557566DE}">
      <text>
        <r>
          <rPr>
            <sz val="11"/>
            <color theme="1"/>
            <rFont val="Calibri"/>
            <family val="2"/>
            <scheme val="minor"/>
          </rPr>
          <t>Seleccionar un valor del listado</t>
        </r>
      </text>
    </comment>
    <comment ref="D887" authorId="1" shapeId="0" xr:uid="{CC8042F9-E884-4F9E-93C4-85E088180DB0}">
      <text>
        <r>
          <rPr>
            <sz val="11"/>
            <color theme="1"/>
            <rFont val="Calibri"/>
            <family val="2"/>
            <scheme val="minor"/>
          </rPr>
          <t>Seleccione el tipo de procedimiento</t>
        </r>
      </text>
    </comment>
    <comment ref="E887" authorId="1" shapeId="0" xr:uid="{EB93E9F4-8A4B-49A7-A9E5-6A1062AB00E8}">
      <text>
        <r>
          <rPr>
            <sz val="11"/>
            <color theme="1"/>
            <rFont val="Calibri"/>
            <family val="2"/>
            <scheme val="minor"/>
          </rPr>
          <t>Seleccione un valor de la lista</t>
        </r>
      </text>
    </comment>
    <comment ref="F887" authorId="1" shapeId="0" xr:uid="{9DFD16B2-A175-447B-A842-02D6BACB5737}">
      <text>
        <r>
          <rPr>
            <sz val="11"/>
            <color theme="1"/>
            <rFont val="Calibri"/>
            <family val="2"/>
            <scheme val="minor"/>
          </rPr>
          <t>Introduzca el código SNIP</t>
        </r>
      </text>
    </comment>
    <comment ref="C888" authorId="1" shapeId="0" xr:uid="{176E951C-EED5-45EE-9FA5-690A43C9BE72}">
      <text>
        <r>
          <rPr>
            <sz val="11"/>
            <color theme="1"/>
            <rFont val="Calibri"/>
            <family val="2"/>
            <scheme val="minor"/>
          </rPr>
          <t>Introduzca la fecha de inicio del proceso, en formato dd-mm-aaaa</t>
        </r>
      </text>
    </comment>
    <comment ref="F888" authorId="1" shapeId="0" xr:uid="{9C95E616-7EC4-44B5-BA17-5EC389EAB6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9" authorId="1" shapeId="0" xr:uid="{09C95C1E-04F1-494A-954B-7852EA75E225}">
      <text/>
    </comment>
    <comment ref="C890" authorId="1" shapeId="0" xr:uid="{85BF0D05-3061-4D71-ACCE-D4DF01570080}">
      <text>
        <r>
          <rPr>
            <sz val="11"/>
            <color theme="1"/>
            <rFont val="Calibri"/>
            <family val="2"/>
            <scheme val="minor"/>
          </rPr>
          <t>Introduzca la fecha prevista de adjudicación, en formato dd-mm-aaaa</t>
        </r>
      </text>
    </comment>
    <comment ref="F890" authorId="1" shapeId="0" xr:uid="{CCBC4201-DD63-44EB-AD85-9F078CEF7A40}">
      <text/>
    </comment>
    <comment ref="F891" authorId="1" shapeId="0" xr:uid="{D3A3AC3B-59B1-4EB8-9224-EC4E3B261CF1}">
      <text/>
    </comment>
    <comment ref="A893" authorId="1" shapeId="0" xr:uid="{958F385A-F49D-4080-982C-D6FDF3A0D862}">
      <text>
        <r>
          <rPr>
            <sz val="11"/>
            <color theme="1"/>
            <rFont val="Calibri"/>
            <family val="2"/>
            <scheme val="minor"/>
          </rPr>
          <t>Introduzca un codigo UNSPSC</t>
        </r>
      </text>
    </comment>
    <comment ref="B893" authorId="1" shapeId="0" xr:uid="{442EB0D3-A911-4FB3-B0C4-25359A2BB913}">
      <text>
        <r>
          <rPr>
            <sz val="11"/>
            <color theme="1"/>
            <rFont val="Calibri"/>
            <family val="2"/>
            <scheme val="minor"/>
          </rPr>
          <t>Descripción calculada automáticamente a partir de código del artículo</t>
        </r>
      </text>
    </comment>
    <comment ref="C893" authorId="1" shapeId="0" xr:uid="{74769FD9-F006-4692-8513-5D8E27B4C1A2}">
      <text>
        <r>
          <rPr>
            <sz val="11"/>
            <color theme="1"/>
            <rFont val="Calibri"/>
            <family val="2"/>
            <scheme val="minor"/>
          </rPr>
          <t>Seleccione un valor de la lista</t>
        </r>
      </text>
    </comment>
    <comment ref="D893" authorId="1" shapeId="0" xr:uid="{3582FD1D-499C-4646-91DD-13516EE155A8}">
      <text>
        <r>
          <rPr>
            <sz val="11"/>
            <color theme="1"/>
            <rFont val="Calibri"/>
            <family val="2"/>
            <scheme val="minor"/>
          </rPr>
          <t>Introduzca un número con dos decimales como máximo. Debe ser igual o mayor a la "Cantidad Real Consumida"</t>
        </r>
      </text>
    </comment>
    <comment ref="E893" authorId="1" shapeId="0" xr:uid="{A8CABF73-68A8-439E-9696-7685BCA05839}">
      <text>
        <r>
          <rPr>
            <sz val="11"/>
            <color theme="1"/>
            <rFont val="Calibri"/>
            <family val="2"/>
            <scheme val="minor"/>
          </rPr>
          <t>Introduzca un número con dos decimales como máximo</t>
        </r>
      </text>
    </comment>
    <comment ref="F893" authorId="1" shapeId="0" xr:uid="{957BE52E-F7F5-4EB1-B80D-4AF68711AFCF}">
      <text>
        <r>
          <rPr>
            <sz val="11"/>
            <color theme="1"/>
            <rFont val="Calibri"/>
            <family val="2"/>
            <scheme val="minor"/>
          </rPr>
          <t>Monto calculado automáticamente por el sistema</t>
        </r>
      </text>
    </comment>
    <comment ref="A902" authorId="1" shapeId="0" xr:uid="{F5525B46-ADF8-43B8-A618-FEBC063B5E11}">
      <text>
        <r>
          <rPr>
            <sz val="11"/>
            <color theme="1"/>
            <rFont val="Calibri"/>
            <family val="2"/>
            <scheme val="minor"/>
          </rPr>
          <t>Introducir un texto con el nombre o referencia de la contratación</t>
        </r>
      </text>
    </comment>
    <comment ref="B902" authorId="1" shapeId="0" xr:uid="{20AA85DE-E353-4165-8BBA-1EB1ADA7A90F}">
      <text>
        <r>
          <rPr>
            <sz val="11"/>
            <color theme="1"/>
            <rFont val="Calibri"/>
            <family val="2"/>
            <scheme val="minor"/>
          </rPr>
          <t>Introduzca un texto con la finalidad de la contratación</t>
        </r>
      </text>
    </comment>
    <comment ref="C902" authorId="1" shapeId="0" xr:uid="{B5FC0069-AC87-4F5E-AE4E-40F1400879C7}">
      <text>
        <r>
          <rPr>
            <sz val="11"/>
            <color theme="1"/>
            <rFont val="Calibri"/>
            <family val="2"/>
            <scheme val="minor"/>
          </rPr>
          <t>Seleccionar un valor del listado</t>
        </r>
      </text>
    </comment>
    <comment ref="D902" authorId="1" shapeId="0" xr:uid="{8B4CCC72-EE22-482D-AAB2-0C653D41B081}">
      <text>
        <r>
          <rPr>
            <sz val="11"/>
            <color theme="1"/>
            <rFont val="Calibri"/>
            <family val="2"/>
            <scheme val="minor"/>
          </rPr>
          <t>Seleccione el tipo de procedimiento</t>
        </r>
      </text>
    </comment>
    <comment ref="E902" authorId="1" shapeId="0" xr:uid="{CAF531F0-7E31-4EE6-8B76-50920049BCC2}">
      <text>
        <r>
          <rPr>
            <sz val="11"/>
            <color theme="1"/>
            <rFont val="Calibri"/>
            <family val="2"/>
            <scheme val="minor"/>
          </rPr>
          <t>Seleccione un valor de la lista</t>
        </r>
      </text>
    </comment>
    <comment ref="F902" authorId="1" shapeId="0" xr:uid="{9146A453-0B26-4FC2-87AD-3F8C7C2516C7}">
      <text>
        <r>
          <rPr>
            <sz val="11"/>
            <color theme="1"/>
            <rFont val="Calibri"/>
            <family val="2"/>
            <scheme val="minor"/>
          </rPr>
          <t>Introduzca el código SNIP</t>
        </r>
      </text>
    </comment>
    <comment ref="C903" authorId="1" shapeId="0" xr:uid="{1E6D089C-7082-4A84-B397-5BF861136173}">
      <text>
        <r>
          <rPr>
            <sz val="11"/>
            <color theme="1"/>
            <rFont val="Calibri"/>
            <family val="2"/>
            <scheme val="minor"/>
          </rPr>
          <t>Introduzca la fecha de inicio del proceso, en formato dd-mm-aaaa</t>
        </r>
      </text>
    </comment>
    <comment ref="F903" authorId="1" shapeId="0" xr:uid="{53D75EF3-4649-4F00-99B9-BA260357C5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4" authorId="1" shapeId="0" xr:uid="{DCF073B9-5D67-45C1-B2AC-B423CAF656E8}">
      <text/>
    </comment>
    <comment ref="C905" authorId="1" shapeId="0" xr:uid="{410301A2-51C0-4E40-A724-0A8581FDB81C}">
      <text>
        <r>
          <rPr>
            <sz val="11"/>
            <color theme="1"/>
            <rFont val="Calibri"/>
            <family val="2"/>
            <scheme val="minor"/>
          </rPr>
          <t>Introduzca la fecha prevista de adjudicación, en formato dd-mm-aaaa</t>
        </r>
      </text>
    </comment>
    <comment ref="F905" authorId="1" shapeId="0" xr:uid="{7E15BBCB-D095-4378-AA58-A6B5E36560C6}">
      <text/>
    </comment>
    <comment ref="F906" authorId="1" shapeId="0" xr:uid="{798FA3F9-5C57-4121-977C-47DDB0EBF043}">
      <text/>
    </comment>
    <comment ref="A908" authorId="1" shapeId="0" xr:uid="{19831B70-A1C1-42C1-B5A9-DE8C7227E821}">
      <text>
        <r>
          <rPr>
            <sz val="11"/>
            <color theme="1"/>
            <rFont val="Calibri"/>
            <family val="2"/>
            <scheme val="minor"/>
          </rPr>
          <t>Introduzca un codigo UNSPSC</t>
        </r>
      </text>
    </comment>
    <comment ref="B908" authorId="1" shapeId="0" xr:uid="{ED13316D-9BD8-43BF-93BD-7988F3BA895B}">
      <text>
        <r>
          <rPr>
            <sz val="11"/>
            <color theme="1"/>
            <rFont val="Calibri"/>
            <family val="2"/>
            <scheme val="minor"/>
          </rPr>
          <t>Descripción calculada automáticamente a partir de código del artículo</t>
        </r>
      </text>
    </comment>
    <comment ref="C908" authorId="1" shapeId="0" xr:uid="{1D010CD9-EA46-492B-9A88-E1996D1E44E2}">
      <text>
        <r>
          <rPr>
            <sz val="11"/>
            <color theme="1"/>
            <rFont val="Calibri"/>
            <family val="2"/>
            <scheme val="minor"/>
          </rPr>
          <t>Seleccione un valor de la lista</t>
        </r>
      </text>
    </comment>
    <comment ref="D908" authorId="1" shapeId="0" xr:uid="{27ADBA86-4B8A-4993-99E1-B551B40B5333}">
      <text>
        <r>
          <rPr>
            <sz val="11"/>
            <color theme="1"/>
            <rFont val="Calibri"/>
            <family val="2"/>
            <scheme val="minor"/>
          </rPr>
          <t>Introduzca un número con dos decimales como máximo. Debe ser igual o mayor a la "Cantidad Real Consumida"</t>
        </r>
      </text>
    </comment>
    <comment ref="E908" authorId="1" shapeId="0" xr:uid="{6D338036-F327-4A52-B20D-23EDFA0D4745}">
      <text>
        <r>
          <rPr>
            <sz val="11"/>
            <color theme="1"/>
            <rFont val="Calibri"/>
            <family val="2"/>
            <scheme val="minor"/>
          </rPr>
          <t>Introduzca un número con dos decimales como máximo</t>
        </r>
      </text>
    </comment>
    <comment ref="F908" authorId="1" shapeId="0" xr:uid="{46EF0F0A-418E-4C47-A36E-BD5AF4A79FCF}">
      <text>
        <r>
          <rPr>
            <sz val="11"/>
            <color theme="1"/>
            <rFont val="Calibri"/>
            <family val="2"/>
            <scheme val="minor"/>
          </rPr>
          <t>Monto calculado automáticamente por el sistema</t>
        </r>
      </text>
    </comment>
    <comment ref="A922" authorId="1" shapeId="0" xr:uid="{EB1108D9-9CC7-4457-99A7-844257003713}">
      <text>
        <r>
          <rPr>
            <sz val="11"/>
            <color theme="1"/>
            <rFont val="Calibri"/>
            <family val="2"/>
            <scheme val="minor"/>
          </rPr>
          <t>Introducir un texto con el nombre o referencia de la contratación</t>
        </r>
      </text>
    </comment>
    <comment ref="B922" authorId="1" shapeId="0" xr:uid="{FC7DD0CB-DE9C-4656-952C-2F6BBD121301}">
      <text>
        <r>
          <rPr>
            <sz val="11"/>
            <color theme="1"/>
            <rFont val="Calibri"/>
            <family val="2"/>
            <scheme val="minor"/>
          </rPr>
          <t>Introduzca un texto con la finalidad de la contratación</t>
        </r>
      </text>
    </comment>
    <comment ref="C922" authorId="1" shapeId="0" xr:uid="{065EE3F6-10C4-489F-99C0-BF8A661721DF}">
      <text>
        <r>
          <rPr>
            <sz val="11"/>
            <color theme="1"/>
            <rFont val="Calibri"/>
            <family val="2"/>
            <scheme val="minor"/>
          </rPr>
          <t>Seleccionar un valor del listado</t>
        </r>
      </text>
    </comment>
    <comment ref="D922" authorId="1" shapeId="0" xr:uid="{0FEE5F44-8B23-4717-B597-6631E34D90D8}">
      <text>
        <r>
          <rPr>
            <sz val="11"/>
            <color theme="1"/>
            <rFont val="Calibri"/>
            <family val="2"/>
            <scheme val="minor"/>
          </rPr>
          <t>Seleccione el tipo de procedimiento</t>
        </r>
      </text>
    </comment>
    <comment ref="E922" authorId="1" shapeId="0" xr:uid="{FE920D7E-A3B9-4DDB-9EEF-F0B807BC41DA}">
      <text>
        <r>
          <rPr>
            <sz val="11"/>
            <color theme="1"/>
            <rFont val="Calibri"/>
            <family val="2"/>
            <scheme val="minor"/>
          </rPr>
          <t>Seleccione un valor de la lista</t>
        </r>
      </text>
    </comment>
    <comment ref="F922" authorId="1" shapeId="0" xr:uid="{3CC77AED-B39F-4214-9BAF-FF5D49C8762F}">
      <text>
        <r>
          <rPr>
            <sz val="11"/>
            <color theme="1"/>
            <rFont val="Calibri"/>
            <family val="2"/>
            <scheme val="minor"/>
          </rPr>
          <t>Introduzca el código SNIP</t>
        </r>
      </text>
    </comment>
    <comment ref="C923" authorId="1" shapeId="0" xr:uid="{354574AC-8590-4D87-B004-2CA64A4BCBAA}">
      <text>
        <r>
          <rPr>
            <sz val="11"/>
            <color theme="1"/>
            <rFont val="Calibri"/>
            <family val="2"/>
            <scheme val="minor"/>
          </rPr>
          <t>Introduzca la fecha de inicio del proceso, en formato dd-mm-aaaa</t>
        </r>
      </text>
    </comment>
    <comment ref="F923" authorId="1" shapeId="0" xr:uid="{ACE5346A-8C85-4FA3-B6B4-7DDABC6D10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1" shapeId="0" xr:uid="{3A9B9298-5DE8-44F7-BCDF-50BC7EDB07FC}">
      <text/>
    </comment>
    <comment ref="C925" authorId="1" shapeId="0" xr:uid="{92CB9C45-C447-4915-90CA-76CF47900D2F}">
      <text>
        <r>
          <rPr>
            <sz val="11"/>
            <color theme="1"/>
            <rFont val="Calibri"/>
            <family val="2"/>
            <scheme val="minor"/>
          </rPr>
          <t>Introduzca la fecha prevista de adjudicación, en formato dd-mm-aaaa</t>
        </r>
      </text>
    </comment>
    <comment ref="F925" authorId="1" shapeId="0" xr:uid="{2118E920-428D-4583-ADF5-63AF75818C5D}">
      <text/>
    </comment>
    <comment ref="F926" authorId="1" shapeId="0" xr:uid="{9B2F4F83-865A-4F2F-B347-6ED50D4DCA8E}">
      <text/>
    </comment>
    <comment ref="A928" authorId="1" shapeId="0" xr:uid="{87CE8C19-CF59-4959-BE02-FB66A5065AB6}">
      <text>
        <r>
          <rPr>
            <sz val="11"/>
            <color theme="1"/>
            <rFont val="Calibri"/>
            <family val="2"/>
            <scheme val="minor"/>
          </rPr>
          <t>Introduzca un codigo UNSPSC</t>
        </r>
      </text>
    </comment>
    <comment ref="B928" authorId="1" shapeId="0" xr:uid="{CA449C6E-4234-4869-868E-BAAE9518F4CA}">
      <text>
        <r>
          <rPr>
            <sz val="11"/>
            <color theme="1"/>
            <rFont val="Calibri"/>
            <family val="2"/>
            <scheme val="minor"/>
          </rPr>
          <t>Descripción calculada automáticamente a partir de código del artículo</t>
        </r>
      </text>
    </comment>
    <comment ref="C928" authorId="1" shapeId="0" xr:uid="{F3189400-FB0D-4875-A74E-96F2E4A33015}">
      <text>
        <r>
          <rPr>
            <sz val="11"/>
            <color theme="1"/>
            <rFont val="Calibri"/>
            <family val="2"/>
            <scheme val="minor"/>
          </rPr>
          <t>Seleccione un valor de la lista</t>
        </r>
      </text>
    </comment>
    <comment ref="D928" authorId="1" shapeId="0" xr:uid="{DBE12FED-D966-432B-8E4A-AC7FB19D9B5B}">
      <text>
        <r>
          <rPr>
            <sz val="11"/>
            <color theme="1"/>
            <rFont val="Calibri"/>
            <family val="2"/>
            <scheme val="minor"/>
          </rPr>
          <t>Introduzca un número con dos decimales como máximo. Debe ser igual o mayor a la "Cantidad Real Consumida"</t>
        </r>
      </text>
    </comment>
    <comment ref="E928" authorId="1" shapeId="0" xr:uid="{C116489D-EE2C-44CD-B783-DCC1180433CD}">
      <text>
        <r>
          <rPr>
            <sz val="11"/>
            <color theme="1"/>
            <rFont val="Calibri"/>
            <family val="2"/>
            <scheme val="minor"/>
          </rPr>
          <t>Introduzca un número con dos decimales como máximo</t>
        </r>
      </text>
    </comment>
    <comment ref="F928" authorId="1" shapeId="0" xr:uid="{C408AB2B-B0DD-455B-9486-C6B3CABCA000}">
      <text>
        <r>
          <rPr>
            <sz val="11"/>
            <color theme="1"/>
            <rFont val="Calibri"/>
            <family val="2"/>
            <scheme val="minor"/>
          </rPr>
          <t>Monto calculado automáticamente por el sistema</t>
        </r>
      </text>
    </comment>
    <comment ref="A982" authorId="1" shapeId="0" xr:uid="{95FB5EA6-0ACF-4914-8438-823753560F8D}">
      <text>
        <r>
          <rPr>
            <sz val="11"/>
            <color theme="1"/>
            <rFont val="Calibri"/>
            <family val="2"/>
            <scheme val="minor"/>
          </rPr>
          <t>Introducir un texto con el nombre o referencia de la contratación</t>
        </r>
      </text>
    </comment>
    <comment ref="B982" authorId="1" shapeId="0" xr:uid="{F05DF0E4-40B3-41D1-B249-6DBD47540A28}">
      <text>
        <r>
          <rPr>
            <sz val="11"/>
            <color theme="1"/>
            <rFont val="Calibri"/>
            <family val="2"/>
            <scheme val="minor"/>
          </rPr>
          <t>Introduzca un texto con la finalidad de la contratación</t>
        </r>
      </text>
    </comment>
    <comment ref="C982" authorId="1" shapeId="0" xr:uid="{D148B727-5ACB-4565-93A9-571123C64D93}">
      <text>
        <r>
          <rPr>
            <sz val="11"/>
            <color theme="1"/>
            <rFont val="Calibri"/>
            <family val="2"/>
            <scheme val="minor"/>
          </rPr>
          <t>Seleccionar un valor del listado</t>
        </r>
      </text>
    </comment>
    <comment ref="D982" authorId="1" shapeId="0" xr:uid="{2AA8DE62-6443-4835-B6F4-C9ED689BAB75}">
      <text>
        <r>
          <rPr>
            <sz val="11"/>
            <color theme="1"/>
            <rFont val="Calibri"/>
            <family val="2"/>
            <scheme val="minor"/>
          </rPr>
          <t>Seleccione el tipo de procedimiento</t>
        </r>
      </text>
    </comment>
    <comment ref="E982" authorId="1" shapeId="0" xr:uid="{CCB868D5-EEAD-440F-9C02-07C5C2B12D3F}">
      <text>
        <r>
          <rPr>
            <sz val="11"/>
            <color theme="1"/>
            <rFont val="Calibri"/>
            <family val="2"/>
            <scheme val="minor"/>
          </rPr>
          <t>Seleccione un valor de la lista</t>
        </r>
      </text>
    </comment>
    <comment ref="F982" authorId="1" shapeId="0" xr:uid="{F68AC580-E4EB-46FA-B495-A0F6BD589EED}">
      <text>
        <r>
          <rPr>
            <sz val="11"/>
            <color theme="1"/>
            <rFont val="Calibri"/>
            <family val="2"/>
            <scheme val="minor"/>
          </rPr>
          <t>Introduzca el código SNIP</t>
        </r>
      </text>
    </comment>
    <comment ref="C983" authorId="1" shapeId="0" xr:uid="{84B91FC4-39FB-4DC6-9486-446F781E9FC7}">
      <text>
        <r>
          <rPr>
            <sz val="11"/>
            <color theme="1"/>
            <rFont val="Calibri"/>
            <family val="2"/>
            <scheme val="minor"/>
          </rPr>
          <t>Introduzca la fecha de inicio del proceso, en formato dd-mm-aaaa</t>
        </r>
      </text>
    </comment>
    <comment ref="F983" authorId="1" shapeId="0" xr:uid="{164A5A37-B3BB-4957-9BCA-669A985D94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4" authorId="1" shapeId="0" xr:uid="{8F8CBDF4-5542-4C30-ADA7-B67BBF0D73AD}">
      <text/>
    </comment>
    <comment ref="C985" authorId="1" shapeId="0" xr:uid="{06906F52-9C45-43F4-AE08-C73804D0AA74}">
      <text>
        <r>
          <rPr>
            <sz val="11"/>
            <color theme="1"/>
            <rFont val="Calibri"/>
            <family val="2"/>
            <scheme val="minor"/>
          </rPr>
          <t>Introduzca la fecha prevista de adjudicación, en formato dd-mm-aaaa</t>
        </r>
      </text>
    </comment>
    <comment ref="F985" authorId="1" shapeId="0" xr:uid="{21134C42-E590-45AF-80D6-45AC3D3617AB}">
      <text/>
    </comment>
    <comment ref="F986" authorId="1" shapeId="0" xr:uid="{E7584E8D-B9CE-4433-9AB4-22785F09D755}">
      <text/>
    </comment>
    <comment ref="A988" authorId="1" shapeId="0" xr:uid="{CB2A8E54-4E7A-40EE-A409-455BEB67E683}">
      <text>
        <r>
          <rPr>
            <sz val="11"/>
            <color theme="1"/>
            <rFont val="Calibri"/>
            <family val="2"/>
            <scheme val="minor"/>
          </rPr>
          <t>Introduzca un codigo UNSPSC</t>
        </r>
      </text>
    </comment>
    <comment ref="B988" authorId="1" shapeId="0" xr:uid="{348930C8-49E7-4AAC-A11F-F538D8FA42B6}">
      <text>
        <r>
          <rPr>
            <sz val="11"/>
            <color theme="1"/>
            <rFont val="Calibri"/>
            <family val="2"/>
            <scheme val="minor"/>
          </rPr>
          <t>Descripción calculada automáticamente a partir de código del artículo</t>
        </r>
      </text>
    </comment>
    <comment ref="C988" authorId="1" shapeId="0" xr:uid="{D63F8F8A-1C61-4CFD-9C95-8E971BE8746C}">
      <text>
        <r>
          <rPr>
            <sz val="11"/>
            <color theme="1"/>
            <rFont val="Calibri"/>
            <family val="2"/>
            <scheme val="minor"/>
          </rPr>
          <t>Seleccione un valor de la lista</t>
        </r>
      </text>
    </comment>
    <comment ref="D988" authorId="1" shapeId="0" xr:uid="{881C6238-8811-4359-A3CA-8B784A1DA1B4}">
      <text>
        <r>
          <rPr>
            <sz val="11"/>
            <color theme="1"/>
            <rFont val="Calibri"/>
            <family val="2"/>
            <scheme val="minor"/>
          </rPr>
          <t>Introduzca un número con dos decimales como máximo. Debe ser igual o mayor a la "Cantidad Real Consumida"</t>
        </r>
      </text>
    </comment>
    <comment ref="E988" authorId="1" shapeId="0" xr:uid="{4B1C9677-05D0-4DAB-A804-4789DA914154}">
      <text>
        <r>
          <rPr>
            <sz val="11"/>
            <color theme="1"/>
            <rFont val="Calibri"/>
            <family val="2"/>
            <scheme val="minor"/>
          </rPr>
          <t>Introduzca un número con dos decimales como máximo</t>
        </r>
      </text>
    </comment>
    <comment ref="F988" authorId="1" shapeId="0" xr:uid="{EB5725EE-A860-4121-9E2A-54272E8B69CB}">
      <text>
        <r>
          <rPr>
            <sz val="11"/>
            <color theme="1"/>
            <rFont val="Calibri"/>
            <family val="2"/>
            <scheme val="minor"/>
          </rPr>
          <t>Monto calculado automáticamente por el sistema</t>
        </r>
      </text>
    </comment>
    <comment ref="A993" authorId="1" shapeId="0" xr:uid="{72933BDD-1B02-4DBF-83DB-82D15F5FA186}">
      <text>
        <r>
          <rPr>
            <sz val="11"/>
            <color theme="1"/>
            <rFont val="Calibri"/>
            <family val="2"/>
            <scheme val="minor"/>
          </rPr>
          <t>Introducir un texto con el nombre o referencia de la contratación</t>
        </r>
      </text>
    </comment>
    <comment ref="B993" authorId="1" shapeId="0" xr:uid="{7FF359C9-29B7-4924-9BC6-923BC86BC57C}">
      <text>
        <r>
          <rPr>
            <sz val="11"/>
            <color theme="1"/>
            <rFont val="Calibri"/>
            <family val="2"/>
            <scheme val="minor"/>
          </rPr>
          <t>Introduzca un texto con la finalidad de la contratación</t>
        </r>
      </text>
    </comment>
    <comment ref="C993" authorId="1" shapeId="0" xr:uid="{5EE8C5B2-05B0-4BDC-82FD-3C4B88D96E84}">
      <text>
        <r>
          <rPr>
            <sz val="11"/>
            <color theme="1"/>
            <rFont val="Calibri"/>
            <family val="2"/>
            <scheme val="minor"/>
          </rPr>
          <t>Seleccionar un valor del listado</t>
        </r>
      </text>
    </comment>
    <comment ref="D993" authorId="1" shapeId="0" xr:uid="{A221584D-81D4-4536-A74A-173242E26B2F}">
      <text>
        <r>
          <rPr>
            <sz val="11"/>
            <color theme="1"/>
            <rFont val="Calibri"/>
            <family val="2"/>
            <scheme val="minor"/>
          </rPr>
          <t>Seleccione el tipo de procedimiento</t>
        </r>
      </text>
    </comment>
    <comment ref="E993" authorId="1" shapeId="0" xr:uid="{498E6773-74FA-49F0-B2FD-7DE5F05BDC90}">
      <text>
        <r>
          <rPr>
            <sz val="11"/>
            <color theme="1"/>
            <rFont val="Calibri"/>
            <family val="2"/>
            <scheme val="minor"/>
          </rPr>
          <t>Seleccione un valor de la lista</t>
        </r>
      </text>
    </comment>
    <comment ref="F993" authorId="1" shapeId="0" xr:uid="{983C743C-4B83-4BDD-A22C-998B71F034AC}">
      <text>
        <r>
          <rPr>
            <sz val="11"/>
            <color theme="1"/>
            <rFont val="Calibri"/>
            <family val="2"/>
            <scheme val="minor"/>
          </rPr>
          <t>Introduzca el código SNIP</t>
        </r>
      </text>
    </comment>
    <comment ref="C994" authorId="1" shapeId="0" xr:uid="{9AC17F9C-9840-4A3C-9132-001ADEB184DA}">
      <text>
        <r>
          <rPr>
            <sz val="11"/>
            <color theme="1"/>
            <rFont val="Calibri"/>
            <family val="2"/>
            <scheme val="minor"/>
          </rPr>
          <t>Introduzca la fecha de inicio del proceso, en formato dd-mm-aaaa</t>
        </r>
      </text>
    </comment>
    <comment ref="F994" authorId="1" shapeId="0" xr:uid="{47AA77CD-304F-4FDF-BF05-1A01F676C2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xr:uid="{7BD3B36B-00EB-4ECE-8AA3-DF64E0179FBE}">
      <text/>
    </comment>
    <comment ref="C996" authorId="1" shapeId="0" xr:uid="{3DFEF06B-95F4-4FC7-9AF8-AC6D6A15A5ED}">
      <text>
        <r>
          <rPr>
            <sz val="11"/>
            <color theme="1"/>
            <rFont val="Calibri"/>
            <family val="2"/>
            <scheme val="minor"/>
          </rPr>
          <t>Introduzca la fecha prevista de adjudicación, en formato dd-mm-aaaa</t>
        </r>
      </text>
    </comment>
    <comment ref="F996" authorId="1" shapeId="0" xr:uid="{25116727-80AD-4C71-ACCE-C0F21E583456}">
      <text/>
    </comment>
    <comment ref="F997" authorId="1" shapeId="0" xr:uid="{2D93FC17-461E-42F1-AC62-A32AA85B73CA}">
      <text/>
    </comment>
    <comment ref="A999" authorId="1" shapeId="0" xr:uid="{5D55FE2F-4971-48A6-9420-AC5B699ABE87}">
      <text>
        <r>
          <rPr>
            <sz val="11"/>
            <color theme="1"/>
            <rFont val="Calibri"/>
            <family val="2"/>
            <scheme val="minor"/>
          </rPr>
          <t>Introduzca un codigo UNSPSC</t>
        </r>
      </text>
    </comment>
    <comment ref="B999" authorId="1" shapeId="0" xr:uid="{061653CE-36C4-4511-A477-1CD31FAEB185}">
      <text>
        <r>
          <rPr>
            <sz val="11"/>
            <color theme="1"/>
            <rFont val="Calibri"/>
            <family val="2"/>
            <scheme val="minor"/>
          </rPr>
          <t>Descripción calculada automáticamente a partir de código del artículo</t>
        </r>
      </text>
    </comment>
    <comment ref="C999" authorId="1" shapeId="0" xr:uid="{159B241D-B91F-417D-BD04-E84049791BC5}">
      <text>
        <r>
          <rPr>
            <sz val="11"/>
            <color theme="1"/>
            <rFont val="Calibri"/>
            <family val="2"/>
            <scheme val="minor"/>
          </rPr>
          <t>Seleccione un valor de la lista</t>
        </r>
      </text>
    </comment>
    <comment ref="D999" authorId="1" shapeId="0" xr:uid="{359F47AB-3FD2-4760-9F77-3D29D6D4A714}">
      <text>
        <r>
          <rPr>
            <sz val="11"/>
            <color theme="1"/>
            <rFont val="Calibri"/>
            <family val="2"/>
            <scheme val="minor"/>
          </rPr>
          <t>Introduzca un número con dos decimales como máximo. Debe ser igual o mayor a la "Cantidad Real Consumida"</t>
        </r>
      </text>
    </comment>
    <comment ref="E999" authorId="1" shapeId="0" xr:uid="{62C2506D-784A-4D15-AFB7-DA67873DDA0D}">
      <text>
        <r>
          <rPr>
            <sz val="11"/>
            <color theme="1"/>
            <rFont val="Calibri"/>
            <family val="2"/>
            <scheme val="minor"/>
          </rPr>
          <t>Introduzca un número con dos decimales como máximo</t>
        </r>
      </text>
    </comment>
    <comment ref="F999" authorId="1" shapeId="0" xr:uid="{8ED7BE1F-96DE-470C-BB75-550A0A0F9B15}">
      <text>
        <r>
          <rPr>
            <sz val="11"/>
            <color theme="1"/>
            <rFont val="Calibri"/>
            <family val="2"/>
            <scheme val="minor"/>
          </rPr>
          <t>Monto calculado automáticamente por el sistema</t>
        </r>
      </text>
    </comment>
    <comment ref="A1006" authorId="1" shapeId="0" xr:uid="{11513AEF-4AF8-4ECD-840D-B91D12AFF5D7}">
      <text>
        <r>
          <rPr>
            <sz val="11"/>
            <color theme="1"/>
            <rFont val="Calibri"/>
            <family val="2"/>
            <scheme val="minor"/>
          </rPr>
          <t>Introducir un texto con el nombre o referencia de la contratación</t>
        </r>
      </text>
    </comment>
    <comment ref="B1006" authorId="1" shapeId="0" xr:uid="{80B2AB07-535C-44C0-852E-D26BDD6F0D1C}">
      <text>
        <r>
          <rPr>
            <sz val="11"/>
            <color theme="1"/>
            <rFont val="Calibri"/>
            <family val="2"/>
            <scheme val="minor"/>
          </rPr>
          <t>Introduzca un texto con la finalidad de la contratación</t>
        </r>
      </text>
    </comment>
    <comment ref="C1006" authorId="1" shapeId="0" xr:uid="{CE1DFCCB-93C9-49EB-B20A-4FBB27A935DF}">
      <text>
        <r>
          <rPr>
            <sz val="11"/>
            <color theme="1"/>
            <rFont val="Calibri"/>
            <family val="2"/>
            <scheme val="minor"/>
          </rPr>
          <t>Seleccionar un valor del listado</t>
        </r>
      </text>
    </comment>
    <comment ref="D1006" authorId="1" shapeId="0" xr:uid="{00A2480F-56EE-42CD-80DE-E172EFCD654C}">
      <text>
        <r>
          <rPr>
            <sz val="11"/>
            <color theme="1"/>
            <rFont val="Calibri"/>
            <family val="2"/>
            <scheme val="minor"/>
          </rPr>
          <t>Seleccione el tipo de procedimiento</t>
        </r>
      </text>
    </comment>
    <comment ref="E1006" authorId="1" shapeId="0" xr:uid="{FD00A6D4-D13B-4C3C-9635-FADBB621D8C9}">
      <text>
        <r>
          <rPr>
            <sz val="11"/>
            <color theme="1"/>
            <rFont val="Calibri"/>
            <family val="2"/>
            <scheme val="minor"/>
          </rPr>
          <t>Seleccione un valor de la lista</t>
        </r>
      </text>
    </comment>
    <comment ref="F1006" authorId="1" shapeId="0" xr:uid="{141306E7-DC86-4937-976D-5E3FA5ABB2BC}">
      <text>
        <r>
          <rPr>
            <sz val="11"/>
            <color theme="1"/>
            <rFont val="Calibri"/>
            <family val="2"/>
            <scheme val="minor"/>
          </rPr>
          <t>Introduzca el código SNIP</t>
        </r>
      </text>
    </comment>
    <comment ref="C1007" authorId="1" shapeId="0" xr:uid="{02D749C3-B0E2-4AD6-BAA5-B4179B7D79E1}">
      <text>
        <r>
          <rPr>
            <sz val="11"/>
            <color theme="1"/>
            <rFont val="Calibri"/>
            <family val="2"/>
            <scheme val="minor"/>
          </rPr>
          <t>Introduzca la fecha de inicio del proceso, en formato dd-mm-aaaa</t>
        </r>
      </text>
    </comment>
    <comment ref="F1007" authorId="1" shapeId="0" xr:uid="{DCD5C86B-8240-4F51-87B9-82C9C95E23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xr:uid="{646D41EA-5ADC-4B00-BC2A-A6CAEBB27306}">
      <text/>
    </comment>
    <comment ref="C1009" authorId="1" shapeId="0" xr:uid="{99A200B3-87E5-402E-93D1-054568FD413B}">
      <text>
        <r>
          <rPr>
            <sz val="11"/>
            <color theme="1"/>
            <rFont val="Calibri"/>
            <family val="2"/>
            <scheme val="minor"/>
          </rPr>
          <t>Introduzca la fecha prevista de adjudicación, en formato dd-mm-aaaa</t>
        </r>
      </text>
    </comment>
    <comment ref="F1009" authorId="1" shapeId="0" xr:uid="{D1098989-695D-46C4-9475-82BC5456BF3F}">
      <text/>
    </comment>
    <comment ref="F1010" authorId="1" shapeId="0" xr:uid="{08C2C1A8-A594-45CA-861C-BABD13CDD855}">
      <text/>
    </comment>
    <comment ref="A1012" authorId="1" shapeId="0" xr:uid="{695EB679-EAD4-4650-B2E1-6DD41EAC3D1F}">
      <text>
        <r>
          <rPr>
            <sz val="11"/>
            <color theme="1"/>
            <rFont val="Calibri"/>
            <family val="2"/>
            <scheme val="minor"/>
          </rPr>
          <t>Introduzca un codigo UNSPSC</t>
        </r>
      </text>
    </comment>
    <comment ref="B1012" authorId="1" shapeId="0" xr:uid="{AA36D0DE-6E05-44C5-9E7B-854E50965FAD}">
      <text>
        <r>
          <rPr>
            <sz val="11"/>
            <color theme="1"/>
            <rFont val="Calibri"/>
            <family val="2"/>
            <scheme val="minor"/>
          </rPr>
          <t>Descripción calculada automáticamente a partir de código del artículo</t>
        </r>
      </text>
    </comment>
    <comment ref="C1012" authorId="1" shapeId="0" xr:uid="{8494B3E8-C671-4E8E-B1C8-CAC9A19DD465}">
      <text>
        <r>
          <rPr>
            <sz val="11"/>
            <color theme="1"/>
            <rFont val="Calibri"/>
            <family val="2"/>
            <scheme val="minor"/>
          </rPr>
          <t>Seleccione un valor de la lista</t>
        </r>
      </text>
    </comment>
    <comment ref="D1012" authorId="1" shapeId="0" xr:uid="{AB6C38AD-B6FF-4EC3-926A-4F57F6C39C1D}">
      <text>
        <r>
          <rPr>
            <sz val="11"/>
            <color theme="1"/>
            <rFont val="Calibri"/>
            <family val="2"/>
            <scheme val="minor"/>
          </rPr>
          <t>Introduzca un número con dos decimales como máximo. Debe ser igual o mayor a la "Cantidad Real Consumida"</t>
        </r>
      </text>
    </comment>
    <comment ref="E1012" authorId="1" shapeId="0" xr:uid="{F2FCFE12-23F9-48D0-AF76-BA29FC0B9703}">
      <text>
        <r>
          <rPr>
            <sz val="11"/>
            <color theme="1"/>
            <rFont val="Calibri"/>
            <family val="2"/>
            <scheme val="minor"/>
          </rPr>
          <t>Introduzca un número con dos decimales como máximo</t>
        </r>
      </text>
    </comment>
    <comment ref="F1012" authorId="1" shapeId="0" xr:uid="{721E4274-9CDD-415A-8418-D68487CB0E47}">
      <text>
        <r>
          <rPr>
            <sz val="11"/>
            <color theme="1"/>
            <rFont val="Calibri"/>
            <family val="2"/>
            <scheme val="minor"/>
          </rPr>
          <t>Monto calculado automáticamente por el sistema</t>
        </r>
      </text>
    </comment>
    <comment ref="A1017" authorId="1" shapeId="0" xr:uid="{397316F3-7D58-4DB0-817C-930DAAC51BA6}">
      <text>
        <r>
          <rPr>
            <sz val="11"/>
            <color theme="1"/>
            <rFont val="Calibri"/>
            <family val="2"/>
            <scheme val="minor"/>
          </rPr>
          <t>Introducir un texto con el nombre o referencia de la contratación</t>
        </r>
      </text>
    </comment>
    <comment ref="B1017" authorId="1" shapeId="0" xr:uid="{E06232B6-ADB9-4716-B39A-416E5BFB912A}">
      <text>
        <r>
          <rPr>
            <sz val="11"/>
            <color theme="1"/>
            <rFont val="Calibri"/>
            <family val="2"/>
            <scheme val="minor"/>
          </rPr>
          <t>Introduzca un texto con la finalidad de la contratación</t>
        </r>
      </text>
    </comment>
    <comment ref="C1017" authorId="1" shapeId="0" xr:uid="{FA48EBAD-F6D0-45AE-8D3E-0C1724AACAA8}">
      <text>
        <r>
          <rPr>
            <sz val="11"/>
            <color theme="1"/>
            <rFont val="Calibri"/>
            <family val="2"/>
            <scheme val="minor"/>
          </rPr>
          <t>Seleccionar un valor del listado</t>
        </r>
      </text>
    </comment>
    <comment ref="D1017" authorId="1" shapeId="0" xr:uid="{90EB7F4C-BE17-42FF-8CBE-8F472815223D}">
      <text>
        <r>
          <rPr>
            <sz val="11"/>
            <color theme="1"/>
            <rFont val="Calibri"/>
            <family val="2"/>
            <scheme val="minor"/>
          </rPr>
          <t>Seleccione el tipo de procedimiento</t>
        </r>
      </text>
    </comment>
    <comment ref="E1017" authorId="1" shapeId="0" xr:uid="{0FD35CF0-5FA0-4730-A753-B401D2614779}">
      <text>
        <r>
          <rPr>
            <sz val="11"/>
            <color theme="1"/>
            <rFont val="Calibri"/>
            <family val="2"/>
            <scheme val="minor"/>
          </rPr>
          <t>Seleccione un valor de la lista</t>
        </r>
      </text>
    </comment>
    <comment ref="F1017" authorId="1" shapeId="0" xr:uid="{95B4552A-82CA-4A26-9BEE-3A1002170ABA}">
      <text>
        <r>
          <rPr>
            <sz val="11"/>
            <color theme="1"/>
            <rFont val="Calibri"/>
            <family val="2"/>
            <scheme val="minor"/>
          </rPr>
          <t>Introduzca el código SNIP</t>
        </r>
      </text>
    </comment>
    <comment ref="C1018" authorId="1" shapeId="0" xr:uid="{5EBF4C6D-B864-4793-BC06-7C1EA7685C93}">
      <text>
        <r>
          <rPr>
            <sz val="11"/>
            <color theme="1"/>
            <rFont val="Calibri"/>
            <family val="2"/>
            <scheme val="minor"/>
          </rPr>
          <t>Introduzca la fecha de inicio del proceso, en formato dd-mm-aaaa</t>
        </r>
      </text>
    </comment>
    <comment ref="F1018" authorId="1" shapeId="0" xr:uid="{6F92C9FF-8F75-4E99-9AAA-19B1F350AD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06129F64-4612-46E7-A5C3-7EBBBC840E06}">
      <text/>
    </comment>
    <comment ref="C1020" authorId="1" shapeId="0" xr:uid="{BACDC8F9-AC66-48EB-B292-CAB880930FB6}">
      <text>
        <r>
          <rPr>
            <sz val="11"/>
            <color theme="1"/>
            <rFont val="Calibri"/>
            <family val="2"/>
            <scheme val="minor"/>
          </rPr>
          <t>Introduzca la fecha prevista de adjudicación, en formato dd-mm-aaaa</t>
        </r>
      </text>
    </comment>
    <comment ref="F1020" authorId="1" shapeId="0" xr:uid="{A0DA1BF8-C245-46BA-ABEA-CCA263D7710B}">
      <text/>
    </comment>
    <comment ref="F1021" authorId="1" shapeId="0" xr:uid="{D4FD4716-923B-45FF-BC60-8C32819058D9}">
      <text/>
    </comment>
    <comment ref="A1023" authorId="1" shapeId="0" xr:uid="{FE08F0A4-B000-4034-A9B5-3A4E1CC0D6C3}">
      <text>
        <r>
          <rPr>
            <sz val="11"/>
            <color theme="1"/>
            <rFont val="Calibri"/>
            <family val="2"/>
            <scheme val="minor"/>
          </rPr>
          <t>Introduzca un codigo UNSPSC</t>
        </r>
      </text>
    </comment>
    <comment ref="B1023" authorId="1" shapeId="0" xr:uid="{9D35BE70-8AAC-49C2-B0EB-8581B39848DF}">
      <text>
        <r>
          <rPr>
            <sz val="11"/>
            <color theme="1"/>
            <rFont val="Calibri"/>
            <family val="2"/>
            <scheme val="minor"/>
          </rPr>
          <t>Descripción calculada automáticamente a partir de código del artículo</t>
        </r>
      </text>
    </comment>
    <comment ref="C1023" authorId="1" shapeId="0" xr:uid="{57E89328-C222-40C3-98AC-F36032BFCE17}">
      <text>
        <r>
          <rPr>
            <sz val="11"/>
            <color theme="1"/>
            <rFont val="Calibri"/>
            <family val="2"/>
            <scheme val="minor"/>
          </rPr>
          <t>Seleccione un valor de la lista</t>
        </r>
      </text>
    </comment>
    <comment ref="D1023" authorId="1" shapeId="0" xr:uid="{87BF389F-1C7F-4119-8B95-621D399ABFC2}">
      <text>
        <r>
          <rPr>
            <sz val="11"/>
            <color theme="1"/>
            <rFont val="Calibri"/>
            <family val="2"/>
            <scheme val="minor"/>
          </rPr>
          <t>Introduzca un número con dos decimales como máximo. Debe ser igual o mayor a la "Cantidad Real Consumida"</t>
        </r>
      </text>
    </comment>
    <comment ref="E1023" authorId="1" shapeId="0" xr:uid="{6E46BF42-28EE-4770-89C3-E03C240EB046}">
      <text>
        <r>
          <rPr>
            <sz val="11"/>
            <color theme="1"/>
            <rFont val="Calibri"/>
            <family val="2"/>
            <scheme val="minor"/>
          </rPr>
          <t>Introduzca un número con dos decimales como máximo</t>
        </r>
      </text>
    </comment>
    <comment ref="F1023" authorId="1" shapeId="0" xr:uid="{D35155B3-430C-4206-AE04-F1E4148126FA}">
      <text>
        <r>
          <rPr>
            <sz val="11"/>
            <color theme="1"/>
            <rFont val="Calibri"/>
            <family val="2"/>
            <scheme val="minor"/>
          </rPr>
          <t>Monto calculado automáticamente por el sistema</t>
        </r>
      </text>
    </comment>
    <comment ref="A1031" authorId="1" shapeId="0" xr:uid="{630475D2-3A1A-4200-874A-48668EA1156D}">
      <text>
        <r>
          <rPr>
            <sz val="11"/>
            <color theme="1"/>
            <rFont val="Calibri"/>
            <family val="2"/>
            <scheme val="minor"/>
          </rPr>
          <t>Introducir un texto con el nombre o referencia de la contratación</t>
        </r>
      </text>
    </comment>
    <comment ref="B1031" authorId="1" shapeId="0" xr:uid="{5E3C5A15-D262-46B0-B207-F6678C007E42}">
      <text>
        <r>
          <rPr>
            <sz val="11"/>
            <color theme="1"/>
            <rFont val="Calibri"/>
            <family val="2"/>
            <scheme val="minor"/>
          </rPr>
          <t>Introduzca un texto con la finalidad de la contratación</t>
        </r>
      </text>
    </comment>
    <comment ref="C1031" authorId="1" shapeId="0" xr:uid="{70689CED-E118-475B-8AA3-4E14AC515C21}">
      <text>
        <r>
          <rPr>
            <sz val="11"/>
            <color theme="1"/>
            <rFont val="Calibri"/>
            <family val="2"/>
            <scheme val="minor"/>
          </rPr>
          <t>Seleccionar un valor del listado</t>
        </r>
      </text>
    </comment>
    <comment ref="D1031" authorId="1" shapeId="0" xr:uid="{D83471E8-60D6-4BEE-BDE3-DB8C0C332069}">
      <text>
        <r>
          <rPr>
            <sz val="11"/>
            <color theme="1"/>
            <rFont val="Calibri"/>
            <family val="2"/>
            <scheme val="minor"/>
          </rPr>
          <t>Seleccione el tipo de procedimiento</t>
        </r>
      </text>
    </comment>
    <comment ref="E1031" authorId="1" shapeId="0" xr:uid="{094DBC3C-5106-4858-A112-2733EFCFBF96}">
      <text>
        <r>
          <rPr>
            <sz val="11"/>
            <color theme="1"/>
            <rFont val="Calibri"/>
            <family val="2"/>
            <scheme val="minor"/>
          </rPr>
          <t>Seleccione un valor de la lista</t>
        </r>
      </text>
    </comment>
    <comment ref="F1031" authorId="1" shapeId="0" xr:uid="{0FCA0E55-DD2E-4082-B001-96ED8B4DEC01}">
      <text>
        <r>
          <rPr>
            <sz val="11"/>
            <color theme="1"/>
            <rFont val="Calibri"/>
            <family val="2"/>
            <scheme val="minor"/>
          </rPr>
          <t>Introduzca el código SNIP</t>
        </r>
      </text>
    </comment>
    <comment ref="C1032" authorId="1" shapeId="0" xr:uid="{AF2DC191-5A5A-45F2-A832-18B8A0AFAC18}">
      <text>
        <r>
          <rPr>
            <sz val="11"/>
            <color theme="1"/>
            <rFont val="Calibri"/>
            <family val="2"/>
            <scheme val="minor"/>
          </rPr>
          <t>Introduzca la fecha de inicio del proceso, en formato dd-mm-aaaa</t>
        </r>
      </text>
    </comment>
    <comment ref="F1032" authorId="1" shapeId="0" xr:uid="{17EF1127-0286-4F17-B8F8-C4DD0A6124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3" authorId="1" shapeId="0" xr:uid="{D3F44A1E-883B-4040-8FF2-E77B9825AB25}">
      <text/>
    </comment>
    <comment ref="C1034" authorId="1" shapeId="0" xr:uid="{303251E4-1B76-4113-8453-ECEC03D13F08}">
      <text>
        <r>
          <rPr>
            <sz val="11"/>
            <color theme="1"/>
            <rFont val="Calibri"/>
            <family val="2"/>
            <scheme val="minor"/>
          </rPr>
          <t>Introduzca la fecha prevista de adjudicación, en formato dd-mm-aaaa</t>
        </r>
      </text>
    </comment>
    <comment ref="F1034" authorId="1" shapeId="0" xr:uid="{A58F37DB-D575-4D5B-9420-967F2832482B}">
      <text/>
    </comment>
    <comment ref="F1035" authorId="1" shapeId="0" xr:uid="{44F847AC-A673-4655-A0D4-99C0ED6F7503}">
      <text/>
    </comment>
    <comment ref="A1037" authorId="1" shapeId="0" xr:uid="{8F2EAF36-A8E8-492B-8E74-0206B4B931C2}">
      <text>
        <r>
          <rPr>
            <sz val="11"/>
            <color theme="1"/>
            <rFont val="Calibri"/>
            <family val="2"/>
            <scheme val="minor"/>
          </rPr>
          <t>Introduzca un codigo UNSPSC</t>
        </r>
      </text>
    </comment>
    <comment ref="B1037" authorId="1" shapeId="0" xr:uid="{004B691A-4548-4011-A544-1DCB9259C505}">
      <text>
        <r>
          <rPr>
            <sz val="11"/>
            <color theme="1"/>
            <rFont val="Calibri"/>
            <family val="2"/>
            <scheme val="minor"/>
          </rPr>
          <t>Descripción calculada automáticamente a partir de código del artículo</t>
        </r>
      </text>
    </comment>
    <comment ref="C1037" authorId="1" shapeId="0" xr:uid="{A9927159-D8E4-4468-85D4-1AABDD756B7D}">
      <text>
        <r>
          <rPr>
            <sz val="11"/>
            <color theme="1"/>
            <rFont val="Calibri"/>
            <family val="2"/>
            <scheme val="minor"/>
          </rPr>
          <t>Seleccione un valor de la lista</t>
        </r>
      </text>
    </comment>
    <comment ref="D1037" authorId="1" shapeId="0" xr:uid="{0A161E9E-9DCD-4953-8FF7-80C16A5FB92B}">
      <text>
        <r>
          <rPr>
            <sz val="11"/>
            <color theme="1"/>
            <rFont val="Calibri"/>
            <family val="2"/>
            <scheme val="minor"/>
          </rPr>
          <t>Introduzca un número con dos decimales como máximo. Debe ser igual o mayor a la "Cantidad Real Consumida"</t>
        </r>
      </text>
    </comment>
    <comment ref="E1037" authorId="1" shapeId="0" xr:uid="{8DFEA289-0E9E-45C8-B312-C74BF8DBEBE4}">
      <text>
        <r>
          <rPr>
            <sz val="11"/>
            <color theme="1"/>
            <rFont val="Calibri"/>
            <family val="2"/>
            <scheme val="minor"/>
          </rPr>
          <t>Introduzca un número con dos decimales como máximo</t>
        </r>
      </text>
    </comment>
    <comment ref="F1037" authorId="1" shapeId="0" xr:uid="{D8D2C93F-20F2-42AB-83CE-D3E5557279CD}">
      <text>
        <r>
          <rPr>
            <sz val="11"/>
            <color theme="1"/>
            <rFont val="Calibri"/>
            <family val="2"/>
            <scheme val="minor"/>
          </rPr>
          <t>Monto calculado automáticamente por el sistema</t>
        </r>
      </text>
    </comment>
    <comment ref="A1045" authorId="1" shapeId="0" xr:uid="{3A207B67-8392-4BF3-914C-42E3CEE0B122}">
      <text>
        <r>
          <rPr>
            <sz val="11"/>
            <color theme="1"/>
            <rFont val="Calibri"/>
            <family val="2"/>
            <scheme val="minor"/>
          </rPr>
          <t>Introducir un texto con el nombre o referencia de la contratación</t>
        </r>
      </text>
    </comment>
    <comment ref="B1045" authorId="1" shapeId="0" xr:uid="{DEA6739A-4608-467E-AF41-8F3489163D5E}">
      <text>
        <r>
          <rPr>
            <sz val="11"/>
            <color theme="1"/>
            <rFont val="Calibri"/>
            <family val="2"/>
            <scheme val="minor"/>
          </rPr>
          <t>Introduzca un texto con la finalidad de la contratación</t>
        </r>
      </text>
    </comment>
    <comment ref="C1045" authorId="1" shapeId="0" xr:uid="{406B2F37-B84F-4DE8-AEB3-0D9205D6C778}">
      <text>
        <r>
          <rPr>
            <sz val="11"/>
            <color theme="1"/>
            <rFont val="Calibri"/>
            <family val="2"/>
            <scheme val="minor"/>
          </rPr>
          <t>Seleccionar un valor del listado</t>
        </r>
      </text>
    </comment>
    <comment ref="D1045" authorId="1" shapeId="0" xr:uid="{1905CD65-3A00-439D-9936-204F7BB544C9}">
      <text>
        <r>
          <rPr>
            <sz val="11"/>
            <color theme="1"/>
            <rFont val="Calibri"/>
            <family val="2"/>
            <scheme val="minor"/>
          </rPr>
          <t>Seleccione el tipo de procedimiento</t>
        </r>
      </text>
    </comment>
    <comment ref="E1045" authorId="1" shapeId="0" xr:uid="{2BA6B7B7-2D77-42CF-963C-2F363DC1E618}">
      <text>
        <r>
          <rPr>
            <sz val="11"/>
            <color theme="1"/>
            <rFont val="Calibri"/>
            <family val="2"/>
            <scheme val="minor"/>
          </rPr>
          <t>Seleccione un valor de la lista</t>
        </r>
      </text>
    </comment>
    <comment ref="F1045" authorId="1" shapeId="0" xr:uid="{F152ED3A-5EA1-4C6C-8F0F-FD041A258A7E}">
      <text>
        <r>
          <rPr>
            <sz val="11"/>
            <color theme="1"/>
            <rFont val="Calibri"/>
            <family val="2"/>
            <scheme val="minor"/>
          </rPr>
          <t>Introduzca el código SNIP</t>
        </r>
      </text>
    </comment>
    <comment ref="C1046" authorId="1" shapeId="0" xr:uid="{024BCB54-F4C0-4BF1-96A1-0005714D5812}">
      <text>
        <r>
          <rPr>
            <sz val="11"/>
            <color theme="1"/>
            <rFont val="Calibri"/>
            <family val="2"/>
            <scheme val="minor"/>
          </rPr>
          <t>Introduzca la fecha de inicio del proceso, en formato dd-mm-aaaa</t>
        </r>
      </text>
    </comment>
    <comment ref="F1046" authorId="1" shapeId="0" xr:uid="{D8E76C7C-FEE9-4CB0-A74A-D51C2B6C47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xr:uid="{68788D6E-CA8A-43A9-978F-4157339E5AFB}">
      <text/>
    </comment>
    <comment ref="C1048" authorId="1" shapeId="0" xr:uid="{A2CA8770-42EC-46A7-8D40-09A4057AB1EE}">
      <text>
        <r>
          <rPr>
            <sz val="11"/>
            <color theme="1"/>
            <rFont val="Calibri"/>
            <family val="2"/>
            <scheme val="minor"/>
          </rPr>
          <t>Introduzca la fecha prevista de adjudicación, en formato dd-mm-aaaa</t>
        </r>
      </text>
    </comment>
    <comment ref="F1048" authorId="1" shapeId="0" xr:uid="{18EDF3C5-2663-498E-865E-299B43626D4E}">
      <text/>
    </comment>
    <comment ref="F1049" authorId="1" shapeId="0" xr:uid="{293EC5B6-8B90-4734-B4BB-6C2C556DE4A2}">
      <text/>
    </comment>
    <comment ref="A1051" authorId="1" shapeId="0" xr:uid="{6762C8DA-C145-4F30-8803-1E5F809EDE4C}">
      <text>
        <r>
          <rPr>
            <sz val="11"/>
            <color theme="1"/>
            <rFont val="Calibri"/>
            <family val="2"/>
            <scheme val="minor"/>
          </rPr>
          <t>Introduzca un codigo UNSPSC</t>
        </r>
      </text>
    </comment>
    <comment ref="B1051" authorId="1" shapeId="0" xr:uid="{4ADFDFCD-4925-494B-BB3F-3CCBA222A8CC}">
      <text>
        <r>
          <rPr>
            <sz val="11"/>
            <color theme="1"/>
            <rFont val="Calibri"/>
            <family val="2"/>
            <scheme val="minor"/>
          </rPr>
          <t>Descripción calculada automáticamente a partir de código del artículo</t>
        </r>
      </text>
    </comment>
    <comment ref="C1051" authorId="1" shapeId="0" xr:uid="{00110472-D683-40C8-B882-F42018B72476}">
      <text>
        <r>
          <rPr>
            <sz val="11"/>
            <color theme="1"/>
            <rFont val="Calibri"/>
            <family val="2"/>
            <scheme val="minor"/>
          </rPr>
          <t>Seleccione un valor de la lista</t>
        </r>
      </text>
    </comment>
    <comment ref="D1051" authorId="1" shapeId="0" xr:uid="{17251685-69F6-4D98-AFF9-80F486908B74}">
      <text>
        <r>
          <rPr>
            <sz val="11"/>
            <color theme="1"/>
            <rFont val="Calibri"/>
            <family val="2"/>
            <scheme val="minor"/>
          </rPr>
          <t>Introduzca un número con dos decimales como máximo. Debe ser igual o mayor a la "Cantidad Real Consumida"</t>
        </r>
      </text>
    </comment>
    <comment ref="E1051" authorId="1" shapeId="0" xr:uid="{5716ADB0-4758-43B1-ADB2-B20EA7F8D2FF}">
      <text>
        <r>
          <rPr>
            <sz val="11"/>
            <color theme="1"/>
            <rFont val="Calibri"/>
            <family val="2"/>
            <scheme val="minor"/>
          </rPr>
          <t>Introduzca un número con dos decimales como máximo</t>
        </r>
      </text>
    </comment>
    <comment ref="F1051" authorId="1" shapeId="0" xr:uid="{F9E108BF-0AB6-4260-B4B7-FC125E42E79D}">
      <text>
        <r>
          <rPr>
            <sz val="11"/>
            <color theme="1"/>
            <rFont val="Calibri"/>
            <family val="2"/>
            <scheme val="minor"/>
          </rPr>
          <t>Monto calculado automáticamente por el sistema</t>
        </r>
      </text>
    </comment>
    <comment ref="A1057" authorId="1" shapeId="0" xr:uid="{AF79CB32-7EFF-4242-AF29-060C54A39294}">
      <text>
        <r>
          <rPr>
            <sz val="11"/>
            <color theme="1"/>
            <rFont val="Calibri"/>
            <family val="2"/>
            <scheme val="minor"/>
          </rPr>
          <t>Introducir un texto con el nombre o referencia de la contratación</t>
        </r>
      </text>
    </comment>
    <comment ref="B1057" authorId="1" shapeId="0" xr:uid="{72590296-12A5-4C7C-98ED-C4E98FBE6134}">
      <text>
        <r>
          <rPr>
            <sz val="11"/>
            <color theme="1"/>
            <rFont val="Calibri"/>
            <family val="2"/>
            <scheme val="minor"/>
          </rPr>
          <t>Introduzca un texto con la finalidad de la contratación</t>
        </r>
      </text>
    </comment>
    <comment ref="C1057" authorId="1" shapeId="0" xr:uid="{D6A88A63-38A0-425C-AE27-8F73B7D779CA}">
      <text>
        <r>
          <rPr>
            <sz val="11"/>
            <color theme="1"/>
            <rFont val="Calibri"/>
            <family val="2"/>
            <scheme val="minor"/>
          </rPr>
          <t>Seleccionar un valor del listado</t>
        </r>
      </text>
    </comment>
    <comment ref="D1057" authorId="1" shapeId="0" xr:uid="{84715FD3-DF8C-4538-A7A7-0DF5A4438A4C}">
      <text>
        <r>
          <rPr>
            <sz val="11"/>
            <color theme="1"/>
            <rFont val="Calibri"/>
            <family val="2"/>
            <scheme val="minor"/>
          </rPr>
          <t>Seleccione el tipo de procedimiento</t>
        </r>
      </text>
    </comment>
    <comment ref="E1057" authorId="1" shapeId="0" xr:uid="{1C99BDE8-DC51-4552-95E5-117C212F48A0}">
      <text>
        <r>
          <rPr>
            <sz val="11"/>
            <color theme="1"/>
            <rFont val="Calibri"/>
            <family val="2"/>
            <scheme val="minor"/>
          </rPr>
          <t>Seleccione un valor de la lista</t>
        </r>
      </text>
    </comment>
    <comment ref="F1057" authorId="1" shapeId="0" xr:uid="{79725F53-8498-42CB-8F6E-8FA97DAB816E}">
      <text>
        <r>
          <rPr>
            <sz val="11"/>
            <color theme="1"/>
            <rFont val="Calibri"/>
            <family val="2"/>
            <scheme val="minor"/>
          </rPr>
          <t>Introduzca el código SNIP</t>
        </r>
      </text>
    </comment>
    <comment ref="C1058" authorId="1" shapeId="0" xr:uid="{2BFAE3B5-0F62-4788-8AE1-54B7873E5A35}">
      <text>
        <r>
          <rPr>
            <sz val="11"/>
            <color theme="1"/>
            <rFont val="Calibri"/>
            <family val="2"/>
            <scheme val="minor"/>
          </rPr>
          <t>Introduzca la fecha de inicio del proceso, en formato dd-mm-aaaa</t>
        </r>
      </text>
    </comment>
    <comment ref="F1058" authorId="1" shapeId="0" xr:uid="{CEB6DDE9-5BA6-4BFB-A164-77A5520CEB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A71431FE-7F8F-4013-890A-8C952529E701}">
      <text/>
    </comment>
    <comment ref="C1060" authorId="1" shapeId="0" xr:uid="{477E8234-E31D-4F29-B00A-A92441ABBF6C}">
      <text>
        <r>
          <rPr>
            <sz val="11"/>
            <color theme="1"/>
            <rFont val="Calibri"/>
            <family val="2"/>
            <scheme val="minor"/>
          </rPr>
          <t>Introduzca la fecha prevista de adjudicación, en formato dd-mm-aaaa</t>
        </r>
      </text>
    </comment>
    <comment ref="F1060" authorId="1" shapeId="0" xr:uid="{CB33EEFC-B4C2-46A8-B191-60BCEC3A1940}">
      <text/>
    </comment>
    <comment ref="F1061" authorId="1" shapeId="0" xr:uid="{6A669F2E-D903-45B4-9D02-1B0509FB5C86}">
      <text/>
    </comment>
    <comment ref="A1063" authorId="1" shapeId="0" xr:uid="{D2E4FA53-C7A9-4602-B71C-168F3614D0CE}">
      <text>
        <r>
          <rPr>
            <sz val="11"/>
            <color theme="1"/>
            <rFont val="Calibri"/>
            <family val="2"/>
            <scheme val="minor"/>
          </rPr>
          <t>Introduzca un codigo UNSPSC</t>
        </r>
      </text>
    </comment>
    <comment ref="B1063" authorId="1" shapeId="0" xr:uid="{6B6C0AD9-9D63-421E-9A92-F1B9DDBCBF3E}">
      <text>
        <r>
          <rPr>
            <sz val="11"/>
            <color theme="1"/>
            <rFont val="Calibri"/>
            <family val="2"/>
            <scheme val="minor"/>
          </rPr>
          <t>Descripción calculada automáticamente a partir de código del artículo</t>
        </r>
      </text>
    </comment>
    <comment ref="C1063" authorId="1" shapeId="0" xr:uid="{B2BCC442-D5DE-4A3F-BBAD-41C1322796CA}">
      <text>
        <r>
          <rPr>
            <sz val="11"/>
            <color theme="1"/>
            <rFont val="Calibri"/>
            <family val="2"/>
            <scheme val="minor"/>
          </rPr>
          <t>Seleccione un valor de la lista</t>
        </r>
      </text>
    </comment>
    <comment ref="D1063" authorId="1" shapeId="0" xr:uid="{57BD7ECB-0DF7-4930-AE19-67ADF0E96CDE}">
      <text>
        <r>
          <rPr>
            <sz val="11"/>
            <color theme="1"/>
            <rFont val="Calibri"/>
            <family val="2"/>
            <scheme val="minor"/>
          </rPr>
          <t>Introduzca un número con dos decimales como máximo. Debe ser igual o mayor a la "Cantidad Real Consumida"</t>
        </r>
      </text>
    </comment>
    <comment ref="E1063" authorId="1" shapeId="0" xr:uid="{9B7D1420-1215-4056-B583-70DB3CA45EC1}">
      <text>
        <r>
          <rPr>
            <sz val="11"/>
            <color theme="1"/>
            <rFont val="Calibri"/>
            <family val="2"/>
            <scheme val="minor"/>
          </rPr>
          <t>Introduzca un número con dos decimales como máximo</t>
        </r>
      </text>
    </comment>
    <comment ref="F1063" authorId="1" shapeId="0" xr:uid="{0899DA1F-9AD5-44EE-809D-FF5904315293}">
      <text>
        <r>
          <rPr>
            <sz val="11"/>
            <color theme="1"/>
            <rFont val="Calibri"/>
            <family val="2"/>
            <scheme val="minor"/>
          </rPr>
          <t>Monto calculado automáticamente por el sistema</t>
        </r>
      </text>
    </comment>
    <comment ref="A1108" authorId="1" shapeId="0" xr:uid="{6DCE37FC-F705-4B0F-8614-BA3F72AA8714}">
      <text>
        <r>
          <rPr>
            <sz val="11"/>
            <color theme="1"/>
            <rFont val="Calibri"/>
            <family val="2"/>
            <scheme val="minor"/>
          </rPr>
          <t>Introducir un texto con el nombre o referencia de la contratación</t>
        </r>
      </text>
    </comment>
    <comment ref="B1108" authorId="1" shapeId="0" xr:uid="{ED9C8247-A6F4-4AAD-B8F1-0EF70ED94E20}">
      <text>
        <r>
          <rPr>
            <sz val="11"/>
            <color theme="1"/>
            <rFont val="Calibri"/>
            <family val="2"/>
            <scheme val="minor"/>
          </rPr>
          <t>Introduzca un texto con la finalidad de la contratación</t>
        </r>
      </text>
    </comment>
    <comment ref="C1108" authorId="1" shapeId="0" xr:uid="{C450026D-18D1-4D95-A1AF-4CA9E4EB855F}">
      <text>
        <r>
          <rPr>
            <sz val="11"/>
            <color theme="1"/>
            <rFont val="Calibri"/>
            <family val="2"/>
            <scheme val="minor"/>
          </rPr>
          <t>Seleccionar un valor del listado</t>
        </r>
      </text>
    </comment>
    <comment ref="D1108" authorId="1" shapeId="0" xr:uid="{C708FD96-4223-4813-BAE8-9D7841E5268E}">
      <text>
        <r>
          <rPr>
            <sz val="11"/>
            <color theme="1"/>
            <rFont val="Calibri"/>
            <family val="2"/>
            <scheme val="minor"/>
          </rPr>
          <t>Seleccione el tipo de procedimiento</t>
        </r>
      </text>
    </comment>
    <comment ref="E1108" authorId="1" shapeId="0" xr:uid="{7C8805D5-6461-4C70-8186-6D5817AD8912}">
      <text>
        <r>
          <rPr>
            <sz val="11"/>
            <color theme="1"/>
            <rFont val="Calibri"/>
            <family val="2"/>
            <scheme val="minor"/>
          </rPr>
          <t>Seleccione un valor de la lista</t>
        </r>
      </text>
    </comment>
    <comment ref="F1108" authorId="1" shapeId="0" xr:uid="{EA23808F-2CBE-4726-BB68-1EF74833C20F}">
      <text>
        <r>
          <rPr>
            <sz val="11"/>
            <color theme="1"/>
            <rFont val="Calibri"/>
            <family val="2"/>
            <scheme val="minor"/>
          </rPr>
          <t>Introduzca el código SNIP</t>
        </r>
      </text>
    </comment>
    <comment ref="C1109" authorId="1" shapeId="0" xr:uid="{16BB9628-99C4-4E60-A32D-F4F811F0BD6E}">
      <text>
        <r>
          <rPr>
            <sz val="11"/>
            <color theme="1"/>
            <rFont val="Calibri"/>
            <family val="2"/>
            <scheme val="minor"/>
          </rPr>
          <t>Introduzca la fecha de inicio del proceso, en formato dd-mm-aaaa</t>
        </r>
      </text>
    </comment>
    <comment ref="F1109" authorId="1" shapeId="0" xr:uid="{4EBF6EB4-D37A-4975-B48B-816846FB6C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0" authorId="1" shapeId="0" xr:uid="{757BB1ED-C4F1-4D93-8E9D-041762E60F77}">
      <text/>
    </comment>
    <comment ref="C1111" authorId="1" shapeId="0" xr:uid="{E714E662-F2C2-4E6B-9D61-1E9B27B7076A}">
      <text>
        <r>
          <rPr>
            <sz val="11"/>
            <color theme="1"/>
            <rFont val="Calibri"/>
            <family val="2"/>
            <scheme val="minor"/>
          </rPr>
          <t>Introduzca la fecha prevista de adjudicación, en formato dd-mm-aaaa</t>
        </r>
      </text>
    </comment>
    <comment ref="F1111" authorId="1" shapeId="0" xr:uid="{3F5560CE-A125-4BC4-A7F1-47A7D8CCEB25}">
      <text/>
    </comment>
    <comment ref="F1112" authorId="1" shapeId="0" xr:uid="{70648FF8-5E43-4539-9588-6FFCD40FE660}">
      <text/>
    </comment>
    <comment ref="A1114" authorId="1" shapeId="0" xr:uid="{30D836F3-AD23-4201-8807-54CD067D7B80}">
      <text>
        <r>
          <rPr>
            <sz val="11"/>
            <color theme="1"/>
            <rFont val="Calibri"/>
            <family val="2"/>
            <scheme val="minor"/>
          </rPr>
          <t>Introduzca un codigo UNSPSC</t>
        </r>
      </text>
    </comment>
    <comment ref="B1114" authorId="1" shapeId="0" xr:uid="{C977AF69-DD27-42B1-A1D8-AA6473EBE258}">
      <text>
        <r>
          <rPr>
            <sz val="11"/>
            <color theme="1"/>
            <rFont val="Calibri"/>
            <family val="2"/>
            <scheme val="minor"/>
          </rPr>
          <t>Descripción calculada automáticamente a partir de código del artículo</t>
        </r>
      </text>
    </comment>
    <comment ref="C1114" authorId="1" shapeId="0" xr:uid="{CAD55E4D-51DF-4D85-BB35-87828548CCF1}">
      <text>
        <r>
          <rPr>
            <sz val="11"/>
            <color theme="1"/>
            <rFont val="Calibri"/>
            <family val="2"/>
            <scheme val="minor"/>
          </rPr>
          <t>Seleccione un valor de la lista</t>
        </r>
      </text>
    </comment>
    <comment ref="D1114" authorId="1" shapeId="0" xr:uid="{3F361618-1F1A-485E-AD2E-07A565D6A8C8}">
      <text>
        <r>
          <rPr>
            <sz val="11"/>
            <color theme="1"/>
            <rFont val="Calibri"/>
            <family val="2"/>
            <scheme val="minor"/>
          </rPr>
          <t>Introduzca un número con dos decimales como máximo. Debe ser igual o mayor a la "Cantidad Real Consumida"</t>
        </r>
      </text>
    </comment>
    <comment ref="E1114" authorId="1" shapeId="0" xr:uid="{93D699D9-DB1F-4818-851A-0C17C886CF31}">
      <text>
        <r>
          <rPr>
            <sz val="11"/>
            <color theme="1"/>
            <rFont val="Calibri"/>
            <family val="2"/>
            <scheme val="minor"/>
          </rPr>
          <t>Introduzca un número con dos decimales como máximo</t>
        </r>
      </text>
    </comment>
    <comment ref="F1114" authorId="1" shapeId="0" xr:uid="{5239FAB2-5FFB-47D0-876D-6D05D73BAEB6}">
      <text>
        <r>
          <rPr>
            <sz val="11"/>
            <color theme="1"/>
            <rFont val="Calibri"/>
            <family val="2"/>
            <scheme val="minor"/>
          </rPr>
          <t>Monto calculado automáticamente por el sistema</t>
        </r>
      </text>
    </comment>
    <comment ref="A1123" authorId="1" shapeId="0" xr:uid="{D365AD35-0625-40A3-8CD4-78C576C1FECE}">
      <text>
        <r>
          <rPr>
            <sz val="11"/>
            <color theme="1"/>
            <rFont val="Calibri"/>
            <family val="2"/>
            <scheme val="minor"/>
          </rPr>
          <t>Introducir un texto con el nombre o referencia de la contratación</t>
        </r>
      </text>
    </comment>
    <comment ref="B1123" authorId="1" shapeId="0" xr:uid="{B81C3851-18AB-4349-8FC6-AD38CBB53C59}">
      <text>
        <r>
          <rPr>
            <sz val="11"/>
            <color theme="1"/>
            <rFont val="Calibri"/>
            <family val="2"/>
            <scheme val="minor"/>
          </rPr>
          <t>Introduzca un texto con la finalidad de la contratación</t>
        </r>
      </text>
    </comment>
    <comment ref="C1123" authorId="1" shapeId="0" xr:uid="{F6DD46AE-E838-45B4-9014-A1178CB74E68}">
      <text>
        <r>
          <rPr>
            <sz val="11"/>
            <color theme="1"/>
            <rFont val="Calibri"/>
            <family val="2"/>
            <scheme val="minor"/>
          </rPr>
          <t>Seleccionar un valor del listado</t>
        </r>
      </text>
    </comment>
    <comment ref="D1123" authorId="1" shapeId="0" xr:uid="{B8595411-893E-4CE6-8576-C83774278F30}">
      <text>
        <r>
          <rPr>
            <sz val="11"/>
            <color theme="1"/>
            <rFont val="Calibri"/>
            <family val="2"/>
            <scheme val="minor"/>
          </rPr>
          <t>Seleccione el tipo de procedimiento</t>
        </r>
      </text>
    </comment>
    <comment ref="E1123" authorId="1" shapeId="0" xr:uid="{C1AB0514-88D2-4D4E-AD73-258A247AB2BA}">
      <text>
        <r>
          <rPr>
            <sz val="11"/>
            <color theme="1"/>
            <rFont val="Calibri"/>
            <family val="2"/>
            <scheme val="minor"/>
          </rPr>
          <t>Seleccione un valor de la lista</t>
        </r>
      </text>
    </comment>
    <comment ref="F1123" authorId="1" shapeId="0" xr:uid="{0298F6FC-E932-46AE-8242-ADF8F78046F7}">
      <text>
        <r>
          <rPr>
            <sz val="11"/>
            <color theme="1"/>
            <rFont val="Calibri"/>
            <family val="2"/>
            <scheme val="minor"/>
          </rPr>
          <t>Introduzca el código SNIP</t>
        </r>
      </text>
    </comment>
    <comment ref="C1124" authorId="1" shapeId="0" xr:uid="{70BAAE21-8F53-4483-AFA9-B9097501BD12}">
      <text>
        <r>
          <rPr>
            <sz val="11"/>
            <color theme="1"/>
            <rFont val="Calibri"/>
            <family val="2"/>
            <scheme val="minor"/>
          </rPr>
          <t>Introduzca la fecha de inicio del proceso, en formato dd-mm-aaaa</t>
        </r>
      </text>
    </comment>
    <comment ref="F1124" authorId="1" shapeId="0" xr:uid="{A6282648-B5AB-4039-8AEA-90B82B4128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5" authorId="1" shapeId="0" xr:uid="{13DCB25F-2787-4246-8E84-AE3CE3ABA3C9}">
      <text/>
    </comment>
    <comment ref="C1126" authorId="1" shapeId="0" xr:uid="{37431453-CDF6-44F1-B008-3ABC6AF911DE}">
      <text>
        <r>
          <rPr>
            <sz val="11"/>
            <color theme="1"/>
            <rFont val="Calibri"/>
            <family val="2"/>
            <scheme val="minor"/>
          </rPr>
          <t>Introduzca la fecha prevista de adjudicación, en formato dd-mm-aaaa</t>
        </r>
      </text>
    </comment>
    <comment ref="F1126" authorId="1" shapeId="0" xr:uid="{6C89A916-D43F-4D78-B532-F4E8E869BA9F}">
      <text/>
    </comment>
    <comment ref="F1127" authorId="1" shapeId="0" xr:uid="{02946610-25A6-4E10-9483-D040ABDCD0F3}">
      <text/>
    </comment>
    <comment ref="A1129" authorId="1" shapeId="0" xr:uid="{50C1F976-DA13-42B2-9AB1-BB83BCCA0923}">
      <text>
        <r>
          <rPr>
            <sz val="11"/>
            <color theme="1"/>
            <rFont val="Calibri"/>
            <family val="2"/>
            <scheme val="minor"/>
          </rPr>
          <t>Introduzca un codigo UNSPSC</t>
        </r>
      </text>
    </comment>
    <comment ref="B1129" authorId="1" shapeId="0" xr:uid="{275E79B3-D536-4C24-A1D6-757C333097BE}">
      <text>
        <r>
          <rPr>
            <sz val="11"/>
            <color theme="1"/>
            <rFont val="Calibri"/>
            <family val="2"/>
            <scheme val="minor"/>
          </rPr>
          <t>Descripción calculada automáticamente a partir de código del artículo</t>
        </r>
      </text>
    </comment>
    <comment ref="C1129" authorId="1" shapeId="0" xr:uid="{06375C6C-CEB3-40CE-BC25-641BEF1FA9FC}">
      <text>
        <r>
          <rPr>
            <sz val="11"/>
            <color theme="1"/>
            <rFont val="Calibri"/>
            <family val="2"/>
            <scheme val="minor"/>
          </rPr>
          <t>Seleccione un valor de la lista</t>
        </r>
      </text>
    </comment>
    <comment ref="D1129" authorId="1" shapeId="0" xr:uid="{2244D5B4-A698-433D-8DF7-C9F919F51C44}">
      <text>
        <r>
          <rPr>
            <sz val="11"/>
            <color theme="1"/>
            <rFont val="Calibri"/>
            <family val="2"/>
            <scheme val="minor"/>
          </rPr>
          <t>Introduzca un número con dos decimales como máximo. Debe ser igual o mayor a la "Cantidad Real Consumida"</t>
        </r>
      </text>
    </comment>
    <comment ref="E1129" authorId="1" shapeId="0" xr:uid="{B766E16C-8B18-4C6D-8628-AAD999345F86}">
      <text>
        <r>
          <rPr>
            <sz val="11"/>
            <color theme="1"/>
            <rFont val="Calibri"/>
            <family val="2"/>
            <scheme val="minor"/>
          </rPr>
          <t>Introduzca un número con dos decimales como máximo</t>
        </r>
      </text>
    </comment>
    <comment ref="F1129" authorId="1" shapeId="0" xr:uid="{D6D63E59-1162-48DB-9BF8-123DFC18E451}">
      <text>
        <r>
          <rPr>
            <sz val="11"/>
            <color theme="1"/>
            <rFont val="Calibri"/>
            <family val="2"/>
            <scheme val="minor"/>
          </rPr>
          <t>Monto calculado automáticamente por el sistema</t>
        </r>
      </text>
    </comment>
    <comment ref="A1159" authorId="1" shapeId="0" xr:uid="{EFD6E944-8C3C-4BB7-8CA2-1D7C92E310C7}">
      <text>
        <r>
          <rPr>
            <sz val="11"/>
            <color theme="1"/>
            <rFont val="Calibri"/>
            <family val="2"/>
            <scheme val="minor"/>
          </rPr>
          <t>Introducir un texto con el nombre o referencia de la contratación</t>
        </r>
      </text>
    </comment>
    <comment ref="B1159" authorId="1" shapeId="0" xr:uid="{FE83B51F-074C-4F02-9C08-75476E04B4DB}">
      <text>
        <r>
          <rPr>
            <sz val="11"/>
            <color theme="1"/>
            <rFont val="Calibri"/>
            <family val="2"/>
            <scheme val="minor"/>
          </rPr>
          <t>Introduzca un texto con la finalidad de la contratación</t>
        </r>
      </text>
    </comment>
    <comment ref="C1159" authorId="1" shapeId="0" xr:uid="{FA99BF75-B607-4B44-9472-7F4176CDF3B6}">
      <text>
        <r>
          <rPr>
            <sz val="11"/>
            <color theme="1"/>
            <rFont val="Calibri"/>
            <family val="2"/>
            <scheme val="minor"/>
          </rPr>
          <t>Seleccionar un valor del listado</t>
        </r>
      </text>
    </comment>
    <comment ref="D1159" authorId="1" shapeId="0" xr:uid="{0A93D579-E678-4AA2-BB74-EBDF786C3EEC}">
      <text>
        <r>
          <rPr>
            <sz val="11"/>
            <color theme="1"/>
            <rFont val="Calibri"/>
            <family val="2"/>
            <scheme val="minor"/>
          </rPr>
          <t>Seleccione el tipo de procedimiento</t>
        </r>
      </text>
    </comment>
    <comment ref="E1159" authorId="1" shapeId="0" xr:uid="{AAEEF311-CDEB-4987-BED1-A9F9199A4FF1}">
      <text>
        <r>
          <rPr>
            <sz val="11"/>
            <color theme="1"/>
            <rFont val="Calibri"/>
            <family val="2"/>
            <scheme val="minor"/>
          </rPr>
          <t>Seleccione un valor de la lista</t>
        </r>
      </text>
    </comment>
    <comment ref="F1159" authorId="1" shapeId="0" xr:uid="{20F9236B-A5BA-40FD-8F6F-DA4D56B6ADFF}">
      <text>
        <r>
          <rPr>
            <sz val="11"/>
            <color theme="1"/>
            <rFont val="Calibri"/>
            <family val="2"/>
            <scheme val="minor"/>
          </rPr>
          <t>Introduzca el código SNIP</t>
        </r>
      </text>
    </comment>
    <comment ref="C1160" authorId="1" shapeId="0" xr:uid="{A31E6814-AFFC-4743-B6DD-5B637DC04829}">
      <text>
        <r>
          <rPr>
            <sz val="11"/>
            <color theme="1"/>
            <rFont val="Calibri"/>
            <family val="2"/>
            <scheme val="minor"/>
          </rPr>
          <t>Introduzca la fecha de inicio del proceso, en formato dd-mm-aaaa</t>
        </r>
      </text>
    </comment>
    <comment ref="F1160" authorId="1" shapeId="0" xr:uid="{7212AF8A-91BB-4246-9C7F-0EB4EA11D6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1" shapeId="0" xr:uid="{16C6561F-7C03-42A3-BBEE-BA91A88BA756}">
      <text/>
    </comment>
    <comment ref="C1162" authorId="1" shapeId="0" xr:uid="{DF8732F8-00C2-42FE-8B7E-C174E9D4AB55}">
      <text>
        <r>
          <rPr>
            <sz val="11"/>
            <color theme="1"/>
            <rFont val="Calibri"/>
            <family val="2"/>
            <scheme val="minor"/>
          </rPr>
          <t>Introduzca la fecha prevista de adjudicación, en formato dd-mm-aaaa</t>
        </r>
      </text>
    </comment>
    <comment ref="F1162" authorId="1" shapeId="0" xr:uid="{6B3499CB-CBB7-40EB-98D0-EC8AB69DE93C}">
      <text/>
    </comment>
    <comment ref="F1163" authorId="1" shapeId="0" xr:uid="{4FFD4D83-29E9-4865-9F3C-5B0E1030726B}">
      <text/>
    </comment>
    <comment ref="A1165" authorId="1" shapeId="0" xr:uid="{FCE2D8E1-B124-4FBD-8C4F-6000D8259BB5}">
      <text>
        <r>
          <rPr>
            <sz val="11"/>
            <color theme="1"/>
            <rFont val="Calibri"/>
            <family val="2"/>
            <scheme val="minor"/>
          </rPr>
          <t>Introduzca un codigo UNSPSC</t>
        </r>
      </text>
    </comment>
    <comment ref="B1165" authorId="1" shapeId="0" xr:uid="{ED567CFA-E9B3-4E24-8E4B-202E4A2C0B86}">
      <text>
        <r>
          <rPr>
            <sz val="11"/>
            <color theme="1"/>
            <rFont val="Calibri"/>
            <family val="2"/>
            <scheme val="minor"/>
          </rPr>
          <t>Descripción calculada automáticamente a partir de código del artículo</t>
        </r>
      </text>
    </comment>
    <comment ref="C1165" authorId="1" shapeId="0" xr:uid="{B95FE6DD-CB4B-4B38-A36D-E763836CAA85}">
      <text>
        <r>
          <rPr>
            <sz val="11"/>
            <color theme="1"/>
            <rFont val="Calibri"/>
            <family val="2"/>
            <scheme val="minor"/>
          </rPr>
          <t>Seleccione un valor de la lista</t>
        </r>
      </text>
    </comment>
    <comment ref="D1165" authorId="1" shapeId="0" xr:uid="{EE528477-EBB6-4C3A-AF33-030E751FA292}">
      <text>
        <r>
          <rPr>
            <sz val="11"/>
            <color theme="1"/>
            <rFont val="Calibri"/>
            <family val="2"/>
            <scheme val="minor"/>
          </rPr>
          <t>Introduzca un número con dos decimales como máximo. Debe ser igual o mayor a la "Cantidad Real Consumida"</t>
        </r>
      </text>
    </comment>
    <comment ref="E1165" authorId="1" shapeId="0" xr:uid="{1738F141-D6F8-4888-8E3E-9F29221349B0}">
      <text>
        <r>
          <rPr>
            <sz val="11"/>
            <color theme="1"/>
            <rFont val="Calibri"/>
            <family val="2"/>
            <scheme val="minor"/>
          </rPr>
          <t>Introduzca un número con dos decimales como máximo</t>
        </r>
      </text>
    </comment>
    <comment ref="F1165" authorId="1" shapeId="0" xr:uid="{433B3C31-0168-48F8-9E72-5494058994D0}">
      <text>
        <r>
          <rPr>
            <sz val="11"/>
            <color theme="1"/>
            <rFont val="Calibri"/>
            <family val="2"/>
            <scheme val="minor"/>
          </rPr>
          <t>Monto calculado automáticamente por el sistema</t>
        </r>
      </text>
    </comment>
    <comment ref="A1181" authorId="1" shapeId="0" xr:uid="{95F1B32B-CD4D-48CE-BEE5-51ADD0942778}">
      <text>
        <r>
          <rPr>
            <sz val="11"/>
            <color theme="1"/>
            <rFont val="Calibri"/>
            <family val="2"/>
            <scheme val="minor"/>
          </rPr>
          <t>Introducir un texto con el nombre o referencia de la contratación</t>
        </r>
      </text>
    </comment>
    <comment ref="B1181" authorId="1" shapeId="0" xr:uid="{AF9A1EE7-01DC-48A0-A955-A57B33B5606F}">
      <text>
        <r>
          <rPr>
            <sz val="11"/>
            <color theme="1"/>
            <rFont val="Calibri"/>
            <family val="2"/>
            <scheme val="minor"/>
          </rPr>
          <t>Introduzca un texto con la finalidad de la contratación</t>
        </r>
      </text>
    </comment>
    <comment ref="C1181" authorId="1" shapeId="0" xr:uid="{BFE1759B-9F6E-40DF-81BA-BAA7AC0BC57A}">
      <text>
        <r>
          <rPr>
            <sz val="11"/>
            <color theme="1"/>
            <rFont val="Calibri"/>
            <family val="2"/>
            <scheme val="minor"/>
          </rPr>
          <t>Seleccionar un valor del listado</t>
        </r>
      </text>
    </comment>
    <comment ref="D1181" authorId="1" shapeId="0" xr:uid="{F1135582-C187-458C-9685-AE9804AB3CF5}">
      <text>
        <r>
          <rPr>
            <sz val="11"/>
            <color theme="1"/>
            <rFont val="Calibri"/>
            <family val="2"/>
            <scheme val="minor"/>
          </rPr>
          <t>Seleccione el tipo de procedimiento</t>
        </r>
      </text>
    </comment>
    <comment ref="E1181" authorId="1" shapeId="0" xr:uid="{D75D36D1-A52E-4A22-AF7B-C8846F736C9F}">
      <text>
        <r>
          <rPr>
            <sz val="11"/>
            <color theme="1"/>
            <rFont val="Calibri"/>
            <family val="2"/>
            <scheme val="minor"/>
          </rPr>
          <t>Seleccione un valor de la lista</t>
        </r>
      </text>
    </comment>
    <comment ref="F1181" authorId="1" shapeId="0" xr:uid="{E6A79881-C763-4E15-BD3C-98CB1316D82B}">
      <text>
        <r>
          <rPr>
            <sz val="11"/>
            <color theme="1"/>
            <rFont val="Calibri"/>
            <family val="2"/>
            <scheme val="minor"/>
          </rPr>
          <t>Introduzca el código SNIP</t>
        </r>
      </text>
    </comment>
    <comment ref="C1182" authorId="1" shapeId="0" xr:uid="{6CB8E207-2AB5-46FB-926B-62E421EE7882}">
      <text>
        <r>
          <rPr>
            <sz val="11"/>
            <color theme="1"/>
            <rFont val="Calibri"/>
            <family val="2"/>
            <scheme val="minor"/>
          </rPr>
          <t>Introduzca la fecha de inicio del proceso, en formato dd-mm-aaaa</t>
        </r>
      </text>
    </comment>
    <comment ref="F1182" authorId="1" shapeId="0" xr:uid="{6AE81AA1-5E02-468A-B8AD-05D7F1BC96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3" authorId="1" shapeId="0" xr:uid="{3EB21FC5-C760-451C-A70C-23DF56D28CE2}">
      <text/>
    </comment>
    <comment ref="C1184" authorId="1" shapeId="0" xr:uid="{CA301514-5E92-417D-85E3-B6267C67EB6B}">
      <text>
        <r>
          <rPr>
            <sz val="11"/>
            <color theme="1"/>
            <rFont val="Calibri"/>
            <family val="2"/>
            <scheme val="minor"/>
          </rPr>
          <t>Introduzca la fecha prevista de adjudicación, en formato dd-mm-aaaa</t>
        </r>
      </text>
    </comment>
    <comment ref="F1184" authorId="1" shapeId="0" xr:uid="{60A4575A-A12B-4784-8F4E-F893A2322403}">
      <text/>
    </comment>
    <comment ref="F1185" authorId="1" shapeId="0" xr:uid="{3E7174E0-7294-48F5-AFCE-0C6922FB1512}">
      <text/>
    </comment>
    <comment ref="A1187" authorId="1" shapeId="0" xr:uid="{9452120E-AA5C-4039-9C36-9AC901B11397}">
      <text>
        <r>
          <rPr>
            <sz val="11"/>
            <color theme="1"/>
            <rFont val="Calibri"/>
            <family val="2"/>
            <scheme val="minor"/>
          </rPr>
          <t>Introduzca un codigo UNSPSC</t>
        </r>
      </text>
    </comment>
    <comment ref="B1187" authorId="1" shapeId="0" xr:uid="{7ECDC594-4327-4BDF-B668-7F005DB695FC}">
      <text>
        <r>
          <rPr>
            <sz val="11"/>
            <color theme="1"/>
            <rFont val="Calibri"/>
            <family val="2"/>
            <scheme val="minor"/>
          </rPr>
          <t>Descripción calculada automáticamente a partir de código del artículo</t>
        </r>
      </text>
    </comment>
    <comment ref="C1187" authorId="1" shapeId="0" xr:uid="{2494522F-CAC9-4B9C-A855-976A3A0CFC6A}">
      <text>
        <r>
          <rPr>
            <sz val="11"/>
            <color theme="1"/>
            <rFont val="Calibri"/>
            <family val="2"/>
            <scheme val="minor"/>
          </rPr>
          <t>Seleccione un valor de la lista</t>
        </r>
      </text>
    </comment>
    <comment ref="D1187" authorId="1" shapeId="0" xr:uid="{503A0D3C-6151-4572-8AB3-0A2775131150}">
      <text>
        <r>
          <rPr>
            <sz val="11"/>
            <color theme="1"/>
            <rFont val="Calibri"/>
            <family val="2"/>
            <scheme val="minor"/>
          </rPr>
          <t>Introduzca un número con dos decimales como máximo. Debe ser igual o mayor a la "Cantidad Real Consumida"</t>
        </r>
      </text>
    </comment>
    <comment ref="E1187" authorId="1" shapeId="0" xr:uid="{021BBB84-EBA3-4503-82EE-A6E832D02C96}">
      <text>
        <r>
          <rPr>
            <sz val="11"/>
            <color theme="1"/>
            <rFont val="Calibri"/>
            <family val="2"/>
            <scheme val="minor"/>
          </rPr>
          <t>Introduzca un número con dos decimales como máximo</t>
        </r>
      </text>
    </comment>
    <comment ref="F1187" authorId="1" shapeId="0" xr:uid="{84673971-4605-473A-8861-91636D5E1A7F}">
      <text>
        <r>
          <rPr>
            <sz val="11"/>
            <color theme="1"/>
            <rFont val="Calibri"/>
            <family val="2"/>
            <scheme val="minor"/>
          </rPr>
          <t>Monto calculado automáticamente por el sistema</t>
        </r>
      </text>
    </comment>
    <comment ref="A1221" authorId="1" shapeId="0" xr:uid="{60701278-3276-4A48-AAD4-C17E101DD1FA}">
      <text>
        <r>
          <rPr>
            <sz val="11"/>
            <color theme="1"/>
            <rFont val="Calibri"/>
            <family val="2"/>
            <scheme val="minor"/>
          </rPr>
          <t>Introducir un texto con el nombre o referencia de la contratación</t>
        </r>
      </text>
    </comment>
    <comment ref="B1221" authorId="1" shapeId="0" xr:uid="{AAE82CF8-F04B-4D01-BEC1-E05CA2E53F2B}">
      <text>
        <r>
          <rPr>
            <sz val="11"/>
            <color theme="1"/>
            <rFont val="Calibri"/>
            <family val="2"/>
            <scheme val="minor"/>
          </rPr>
          <t>Introduzca un texto con la finalidad de la contratación</t>
        </r>
      </text>
    </comment>
    <comment ref="C1221" authorId="1" shapeId="0" xr:uid="{54170CF1-D732-46FA-8D5E-2CCD9B0A20C6}">
      <text>
        <r>
          <rPr>
            <sz val="11"/>
            <color theme="1"/>
            <rFont val="Calibri"/>
            <family val="2"/>
            <scheme val="minor"/>
          </rPr>
          <t>Seleccionar un valor del listado</t>
        </r>
      </text>
    </comment>
    <comment ref="D1221" authorId="1" shapeId="0" xr:uid="{B546A24C-5093-459D-A233-08E29A4B9246}">
      <text>
        <r>
          <rPr>
            <sz val="11"/>
            <color theme="1"/>
            <rFont val="Calibri"/>
            <family val="2"/>
            <scheme val="minor"/>
          </rPr>
          <t>Seleccione el tipo de procedimiento</t>
        </r>
      </text>
    </comment>
    <comment ref="E1221" authorId="1" shapeId="0" xr:uid="{66193B2B-09DF-48E5-A5DA-67F1DD606EE1}">
      <text>
        <r>
          <rPr>
            <sz val="11"/>
            <color theme="1"/>
            <rFont val="Calibri"/>
            <family val="2"/>
            <scheme val="minor"/>
          </rPr>
          <t>Seleccione un valor de la lista</t>
        </r>
      </text>
    </comment>
    <comment ref="F1221" authorId="1" shapeId="0" xr:uid="{3D50EDE8-EF6E-4DBE-BA3C-8B3146DFBA17}">
      <text>
        <r>
          <rPr>
            <sz val="11"/>
            <color theme="1"/>
            <rFont val="Calibri"/>
            <family val="2"/>
            <scheme val="minor"/>
          </rPr>
          <t>Introduzca el código SNIP</t>
        </r>
      </text>
    </comment>
    <comment ref="C1222" authorId="1" shapeId="0" xr:uid="{B49BC490-5BC3-41FE-B8A2-AFE1943735FE}">
      <text>
        <r>
          <rPr>
            <sz val="11"/>
            <color theme="1"/>
            <rFont val="Calibri"/>
            <family val="2"/>
            <scheme val="minor"/>
          </rPr>
          <t>Introduzca la fecha de inicio del proceso, en formato dd-mm-aaaa</t>
        </r>
      </text>
    </comment>
    <comment ref="F1222" authorId="1" shapeId="0" xr:uid="{FFA4F713-6CA8-44AB-A3DB-F168A3901C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3" authorId="1" shapeId="0" xr:uid="{9A1818F6-D2E4-4354-B8BA-23AE2043743A}">
      <text/>
    </comment>
    <comment ref="C1224" authorId="1" shapeId="0" xr:uid="{67B775D9-6E6C-47E7-8E43-422B8B47C6BD}">
      <text>
        <r>
          <rPr>
            <sz val="11"/>
            <color theme="1"/>
            <rFont val="Calibri"/>
            <family val="2"/>
            <scheme val="minor"/>
          </rPr>
          <t>Introduzca la fecha prevista de adjudicación, en formato dd-mm-aaaa</t>
        </r>
      </text>
    </comment>
    <comment ref="F1224" authorId="1" shapeId="0" xr:uid="{462A8E87-8D4C-4C1D-AD24-97395EA29F38}">
      <text/>
    </comment>
    <comment ref="F1225" authorId="1" shapeId="0" xr:uid="{407B922E-8C4D-404C-ABB6-11DFE5BF8785}">
      <text/>
    </comment>
    <comment ref="A1227" authorId="1" shapeId="0" xr:uid="{9720DD7A-DB73-4B8D-9112-C4A35D5EA537}">
      <text>
        <r>
          <rPr>
            <sz val="11"/>
            <color theme="1"/>
            <rFont val="Calibri"/>
            <family val="2"/>
            <scheme val="minor"/>
          </rPr>
          <t>Introduzca un codigo UNSPSC</t>
        </r>
      </text>
    </comment>
    <comment ref="B1227" authorId="1" shapeId="0" xr:uid="{C7209488-B3D3-4F18-9AED-0B772F87D58D}">
      <text>
        <r>
          <rPr>
            <sz val="11"/>
            <color theme="1"/>
            <rFont val="Calibri"/>
            <family val="2"/>
            <scheme val="minor"/>
          </rPr>
          <t>Descripción calculada automáticamente a partir de código del artículo</t>
        </r>
      </text>
    </comment>
    <comment ref="C1227" authorId="1" shapeId="0" xr:uid="{5032A55C-757E-494D-99C6-592C246C5AE4}">
      <text>
        <r>
          <rPr>
            <sz val="11"/>
            <color theme="1"/>
            <rFont val="Calibri"/>
            <family val="2"/>
            <scheme val="minor"/>
          </rPr>
          <t>Seleccione un valor de la lista</t>
        </r>
      </text>
    </comment>
    <comment ref="D1227" authorId="1" shapeId="0" xr:uid="{20423028-CA8E-4120-8855-53B88CDA6ADE}">
      <text>
        <r>
          <rPr>
            <sz val="11"/>
            <color theme="1"/>
            <rFont val="Calibri"/>
            <family val="2"/>
            <scheme val="minor"/>
          </rPr>
          <t>Introduzca un número con dos decimales como máximo. Debe ser igual o mayor a la "Cantidad Real Consumida"</t>
        </r>
      </text>
    </comment>
    <comment ref="E1227" authorId="1" shapeId="0" xr:uid="{A7540E42-8A1B-44A0-B975-DF99289C6257}">
      <text>
        <r>
          <rPr>
            <sz val="11"/>
            <color theme="1"/>
            <rFont val="Calibri"/>
            <family val="2"/>
            <scheme val="minor"/>
          </rPr>
          <t>Introduzca un número con dos decimales como máximo</t>
        </r>
      </text>
    </comment>
    <comment ref="F1227" authorId="1" shapeId="0" xr:uid="{2D349D12-0302-4810-8022-D7E0FABABBF9}">
      <text>
        <r>
          <rPr>
            <sz val="11"/>
            <color theme="1"/>
            <rFont val="Calibri"/>
            <family val="2"/>
            <scheme val="minor"/>
          </rPr>
          <t>Monto calculado automáticamente por el sistema</t>
        </r>
      </text>
    </comment>
    <comment ref="A1232" authorId="1" shapeId="0" xr:uid="{4E6C4530-CD43-4C95-8FFF-5BF642984398}">
      <text>
        <r>
          <rPr>
            <sz val="11"/>
            <color theme="1"/>
            <rFont val="Calibri"/>
            <family val="2"/>
            <scheme val="minor"/>
          </rPr>
          <t>Introducir un texto con el nombre o referencia de la contratación</t>
        </r>
      </text>
    </comment>
    <comment ref="B1232" authorId="1" shapeId="0" xr:uid="{BF81D0F9-7A4B-40C8-A8CF-2F76C4840622}">
      <text>
        <r>
          <rPr>
            <sz val="11"/>
            <color theme="1"/>
            <rFont val="Calibri"/>
            <family val="2"/>
            <scheme val="minor"/>
          </rPr>
          <t>Introduzca un texto con la finalidad de la contratación</t>
        </r>
      </text>
    </comment>
    <comment ref="C1232" authorId="1" shapeId="0" xr:uid="{CA85FFBC-7B14-48FA-A305-8530B42BDCC3}">
      <text>
        <r>
          <rPr>
            <sz val="11"/>
            <color theme="1"/>
            <rFont val="Calibri"/>
            <family val="2"/>
            <scheme val="minor"/>
          </rPr>
          <t>Seleccionar un valor del listado</t>
        </r>
      </text>
    </comment>
    <comment ref="D1232" authorId="1" shapeId="0" xr:uid="{0B969300-C5A7-4D37-8810-0B0CE1D5A318}">
      <text>
        <r>
          <rPr>
            <sz val="11"/>
            <color theme="1"/>
            <rFont val="Calibri"/>
            <family val="2"/>
            <scheme val="minor"/>
          </rPr>
          <t>Seleccione el tipo de procedimiento</t>
        </r>
      </text>
    </comment>
    <comment ref="E1232" authorId="1" shapeId="0" xr:uid="{E4A47D63-4583-4AD3-93EB-0945BFB977EA}">
      <text>
        <r>
          <rPr>
            <sz val="11"/>
            <color theme="1"/>
            <rFont val="Calibri"/>
            <family val="2"/>
            <scheme val="minor"/>
          </rPr>
          <t>Seleccione un valor de la lista</t>
        </r>
      </text>
    </comment>
    <comment ref="F1232" authorId="1" shapeId="0" xr:uid="{FB932224-FDA3-4A99-A3DF-8C35B1BA6590}">
      <text>
        <r>
          <rPr>
            <sz val="11"/>
            <color theme="1"/>
            <rFont val="Calibri"/>
            <family val="2"/>
            <scheme val="minor"/>
          </rPr>
          <t>Introduzca el código SNIP</t>
        </r>
      </text>
    </comment>
    <comment ref="C1233" authorId="1" shapeId="0" xr:uid="{AE3BA3C5-8BDE-4528-800D-9E354FDCD3EF}">
      <text>
        <r>
          <rPr>
            <sz val="11"/>
            <color theme="1"/>
            <rFont val="Calibri"/>
            <family val="2"/>
            <scheme val="minor"/>
          </rPr>
          <t>Introduzca la fecha de inicio del proceso, en formato dd-mm-aaaa</t>
        </r>
      </text>
    </comment>
    <comment ref="F1233" authorId="1" shapeId="0" xr:uid="{3863BECF-BC10-4C3D-973A-543FA69301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4" authorId="1" shapeId="0" xr:uid="{E5C942A1-C3B6-4C65-97F7-6CD598546D8F}">
      <text/>
    </comment>
    <comment ref="C1235" authorId="1" shapeId="0" xr:uid="{7CF5DD3D-48ED-4D20-A532-F92030A05437}">
      <text>
        <r>
          <rPr>
            <sz val="11"/>
            <color theme="1"/>
            <rFont val="Calibri"/>
            <family val="2"/>
            <scheme val="minor"/>
          </rPr>
          <t>Introduzca la fecha prevista de adjudicación, en formato dd-mm-aaaa</t>
        </r>
      </text>
    </comment>
    <comment ref="F1235" authorId="1" shapeId="0" xr:uid="{D3C2D38A-06C6-4C74-A8E0-F94CE83ACD8D}">
      <text/>
    </comment>
    <comment ref="F1236" authorId="1" shapeId="0" xr:uid="{0CCF1C15-CBC1-40F4-8129-DB31DA71146A}">
      <text/>
    </comment>
    <comment ref="A1238" authorId="1" shapeId="0" xr:uid="{DDF45C58-3FD2-4A43-A801-E20280798547}">
      <text>
        <r>
          <rPr>
            <sz val="11"/>
            <color theme="1"/>
            <rFont val="Calibri"/>
            <family val="2"/>
            <scheme val="minor"/>
          </rPr>
          <t>Introduzca un codigo UNSPSC</t>
        </r>
      </text>
    </comment>
    <comment ref="B1238" authorId="1" shapeId="0" xr:uid="{071E7426-A430-4346-81FD-6707FBFA27AD}">
      <text>
        <r>
          <rPr>
            <sz val="11"/>
            <color theme="1"/>
            <rFont val="Calibri"/>
            <family val="2"/>
            <scheme val="minor"/>
          </rPr>
          <t>Descripción calculada automáticamente a partir de código del artículo</t>
        </r>
      </text>
    </comment>
    <comment ref="C1238" authorId="1" shapeId="0" xr:uid="{6E246FD1-F43A-4563-8151-D185B4A0EDE6}">
      <text>
        <r>
          <rPr>
            <sz val="11"/>
            <color theme="1"/>
            <rFont val="Calibri"/>
            <family val="2"/>
            <scheme val="minor"/>
          </rPr>
          <t>Seleccione un valor de la lista</t>
        </r>
      </text>
    </comment>
    <comment ref="D1238" authorId="1" shapeId="0" xr:uid="{7A2574C2-965C-408C-BEB3-BF8F066CAA6E}">
      <text>
        <r>
          <rPr>
            <sz val="11"/>
            <color theme="1"/>
            <rFont val="Calibri"/>
            <family val="2"/>
            <scheme val="minor"/>
          </rPr>
          <t>Introduzca un número con dos decimales como máximo. Debe ser igual o mayor a la "Cantidad Real Consumida"</t>
        </r>
      </text>
    </comment>
    <comment ref="E1238" authorId="1" shapeId="0" xr:uid="{F6421238-CF7C-46D9-85BC-B3763C08CF61}">
      <text>
        <r>
          <rPr>
            <sz val="11"/>
            <color theme="1"/>
            <rFont val="Calibri"/>
            <family val="2"/>
            <scheme val="minor"/>
          </rPr>
          <t>Introduzca un número con dos decimales como máximo</t>
        </r>
      </text>
    </comment>
    <comment ref="F1238" authorId="1" shapeId="0" xr:uid="{ADFDF859-8EF3-4C9A-AB00-724F13A97378}">
      <text>
        <r>
          <rPr>
            <sz val="11"/>
            <color theme="1"/>
            <rFont val="Calibri"/>
            <family val="2"/>
            <scheme val="minor"/>
          </rPr>
          <t>Monto calculado automáticamente por el sistema</t>
        </r>
      </text>
    </comment>
    <comment ref="A1262" authorId="1" shapeId="0" xr:uid="{877AB58E-170D-48F0-B687-40F185B75B98}">
      <text>
        <r>
          <rPr>
            <sz val="11"/>
            <color theme="1"/>
            <rFont val="Calibri"/>
            <family val="2"/>
            <scheme val="minor"/>
          </rPr>
          <t>Introducir un texto con el nombre o referencia de la contratación</t>
        </r>
      </text>
    </comment>
    <comment ref="B1262" authorId="1" shapeId="0" xr:uid="{7AA1630D-2173-4018-97B8-9F3DFE2799BB}">
      <text>
        <r>
          <rPr>
            <sz val="11"/>
            <color theme="1"/>
            <rFont val="Calibri"/>
            <family val="2"/>
            <scheme val="minor"/>
          </rPr>
          <t>Introduzca un texto con la finalidad de la contratación</t>
        </r>
      </text>
    </comment>
    <comment ref="C1262" authorId="1" shapeId="0" xr:uid="{3D90CE69-B0FA-4309-BE42-C57EC29B3977}">
      <text>
        <r>
          <rPr>
            <sz val="11"/>
            <color theme="1"/>
            <rFont val="Calibri"/>
            <family val="2"/>
            <scheme val="minor"/>
          </rPr>
          <t>Seleccionar un valor del listado</t>
        </r>
      </text>
    </comment>
    <comment ref="D1262" authorId="1" shapeId="0" xr:uid="{45DB1406-C427-4E2C-8FE7-3A2F1D9EF98C}">
      <text>
        <r>
          <rPr>
            <sz val="11"/>
            <color theme="1"/>
            <rFont val="Calibri"/>
            <family val="2"/>
            <scheme val="minor"/>
          </rPr>
          <t>Seleccione el tipo de procedimiento</t>
        </r>
      </text>
    </comment>
    <comment ref="E1262" authorId="1" shapeId="0" xr:uid="{6AAFEF6F-0C88-42D8-AC34-7FB293055104}">
      <text>
        <r>
          <rPr>
            <sz val="11"/>
            <color theme="1"/>
            <rFont val="Calibri"/>
            <family val="2"/>
            <scheme val="minor"/>
          </rPr>
          <t>Seleccione un valor de la lista</t>
        </r>
      </text>
    </comment>
    <comment ref="F1262" authorId="1" shapeId="0" xr:uid="{607015C1-30AF-46D2-AAA5-D2FDDEECB334}">
      <text>
        <r>
          <rPr>
            <sz val="11"/>
            <color theme="1"/>
            <rFont val="Calibri"/>
            <family val="2"/>
            <scheme val="minor"/>
          </rPr>
          <t>Introduzca el código SNIP</t>
        </r>
      </text>
    </comment>
    <comment ref="C1263" authorId="1" shapeId="0" xr:uid="{E06CCCEB-5E4F-48DE-B455-F1220E81D62C}">
      <text>
        <r>
          <rPr>
            <sz val="11"/>
            <color theme="1"/>
            <rFont val="Calibri"/>
            <family val="2"/>
            <scheme val="minor"/>
          </rPr>
          <t>Introduzca la fecha de inicio del proceso, en formato dd-mm-aaaa</t>
        </r>
      </text>
    </comment>
    <comment ref="F1263" authorId="1" shapeId="0" xr:uid="{0A333B42-E436-4076-910D-E6C04FF375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4" authorId="1" shapeId="0" xr:uid="{28FB849B-0CB2-4D7D-B853-1B8C6D53A1C3}">
      <text/>
    </comment>
    <comment ref="C1265" authorId="1" shapeId="0" xr:uid="{1B12E079-5139-4404-BB9C-A1F64B038985}">
      <text>
        <r>
          <rPr>
            <sz val="11"/>
            <color theme="1"/>
            <rFont val="Calibri"/>
            <family val="2"/>
            <scheme val="minor"/>
          </rPr>
          <t>Introduzca la fecha prevista de adjudicación, en formato dd-mm-aaaa</t>
        </r>
      </text>
    </comment>
    <comment ref="F1265" authorId="1" shapeId="0" xr:uid="{A0798605-2E2C-4F49-B803-B09AA15BE035}">
      <text/>
    </comment>
    <comment ref="F1266" authorId="1" shapeId="0" xr:uid="{F9628A0C-C086-4934-9578-B4C934F1D5AD}">
      <text/>
    </comment>
    <comment ref="A1268" authorId="1" shapeId="0" xr:uid="{9BAA8A6B-F474-4D2F-A6FC-E6E56CAF63D0}">
      <text>
        <r>
          <rPr>
            <sz val="11"/>
            <color theme="1"/>
            <rFont val="Calibri"/>
            <family val="2"/>
            <scheme val="minor"/>
          </rPr>
          <t>Introduzca un codigo UNSPSC</t>
        </r>
      </text>
    </comment>
    <comment ref="B1268" authorId="1" shapeId="0" xr:uid="{DFBF058B-AB6A-4C57-AE81-CDC30F56DC81}">
      <text>
        <r>
          <rPr>
            <sz val="11"/>
            <color theme="1"/>
            <rFont val="Calibri"/>
            <family val="2"/>
            <scheme val="minor"/>
          </rPr>
          <t>Descripción calculada automáticamente a partir de código del artículo</t>
        </r>
      </text>
    </comment>
    <comment ref="C1268" authorId="1" shapeId="0" xr:uid="{0BF3081C-5296-4B08-83F3-4B3C05B1EE26}">
      <text>
        <r>
          <rPr>
            <sz val="11"/>
            <color theme="1"/>
            <rFont val="Calibri"/>
            <family val="2"/>
            <scheme val="minor"/>
          </rPr>
          <t>Seleccione un valor de la lista</t>
        </r>
      </text>
    </comment>
    <comment ref="D1268" authorId="1" shapeId="0" xr:uid="{91071C56-DBA6-4F57-B6E1-B2DEFFEACD86}">
      <text>
        <r>
          <rPr>
            <sz val="11"/>
            <color theme="1"/>
            <rFont val="Calibri"/>
            <family val="2"/>
            <scheme val="minor"/>
          </rPr>
          <t>Introduzca un número con dos decimales como máximo. Debe ser igual o mayor a la "Cantidad Real Consumida"</t>
        </r>
      </text>
    </comment>
    <comment ref="E1268" authorId="1" shapeId="0" xr:uid="{E6466798-0166-4FFB-B20D-5CB0029BC203}">
      <text>
        <r>
          <rPr>
            <sz val="11"/>
            <color theme="1"/>
            <rFont val="Calibri"/>
            <family val="2"/>
            <scheme val="minor"/>
          </rPr>
          <t>Introduzca un número con dos decimales como máximo</t>
        </r>
      </text>
    </comment>
    <comment ref="F1268" authorId="1" shapeId="0" xr:uid="{85061B66-CBA8-42B5-88D5-173E14C9458D}">
      <text>
        <r>
          <rPr>
            <sz val="11"/>
            <color theme="1"/>
            <rFont val="Calibri"/>
            <family val="2"/>
            <scheme val="minor"/>
          </rPr>
          <t>Monto calculado automáticamente por el sistema</t>
        </r>
      </text>
    </comment>
    <comment ref="A1286" authorId="1" shapeId="0" xr:uid="{C259F13B-1919-4A84-83A4-DCEA15902CCE}">
      <text>
        <r>
          <rPr>
            <sz val="11"/>
            <color theme="1"/>
            <rFont val="Calibri"/>
            <family val="2"/>
            <scheme val="minor"/>
          </rPr>
          <t>Introducir un texto con el nombre o referencia de la contratación</t>
        </r>
      </text>
    </comment>
    <comment ref="B1286" authorId="1" shapeId="0" xr:uid="{36C63944-A181-4BB6-BF58-9B4BA303C369}">
      <text>
        <r>
          <rPr>
            <sz val="11"/>
            <color theme="1"/>
            <rFont val="Calibri"/>
            <family val="2"/>
            <scheme val="minor"/>
          </rPr>
          <t>Introduzca un texto con la finalidad de la contratación</t>
        </r>
      </text>
    </comment>
    <comment ref="C1286" authorId="1" shapeId="0" xr:uid="{FC4C06FF-124D-4E79-BFF0-B25983EA5F76}">
      <text>
        <r>
          <rPr>
            <sz val="11"/>
            <color theme="1"/>
            <rFont val="Calibri"/>
            <family val="2"/>
            <scheme val="minor"/>
          </rPr>
          <t>Seleccionar un valor del listado</t>
        </r>
      </text>
    </comment>
    <comment ref="D1286" authorId="1" shapeId="0" xr:uid="{D0B1857E-2D69-4B92-A32C-9A185A56BFCD}">
      <text>
        <r>
          <rPr>
            <sz val="11"/>
            <color theme="1"/>
            <rFont val="Calibri"/>
            <family val="2"/>
            <scheme val="minor"/>
          </rPr>
          <t>Seleccione el tipo de procedimiento</t>
        </r>
      </text>
    </comment>
    <comment ref="E1286" authorId="1" shapeId="0" xr:uid="{A48060D7-3256-46E1-9F10-4C6FE1E789E6}">
      <text>
        <r>
          <rPr>
            <sz val="11"/>
            <color theme="1"/>
            <rFont val="Calibri"/>
            <family val="2"/>
            <scheme val="minor"/>
          </rPr>
          <t>Seleccione un valor de la lista</t>
        </r>
      </text>
    </comment>
    <comment ref="F1286" authorId="1" shapeId="0" xr:uid="{3E95654C-F012-438B-AB05-7924DB5602AB}">
      <text>
        <r>
          <rPr>
            <sz val="11"/>
            <color theme="1"/>
            <rFont val="Calibri"/>
            <family val="2"/>
            <scheme val="minor"/>
          </rPr>
          <t>Introduzca el código SNIP</t>
        </r>
      </text>
    </comment>
    <comment ref="C1287" authorId="1" shapeId="0" xr:uid="{78B42432-3777-492A-B83D-A89AB84EAFE2}">
      <text>
        <r>
          <rPr>
            <sz val="11"/>
            <color theme="1"/>
            <rFont val="Calibri"/>
            <family val="2"/>
            <scheme val="minor"/>
          </rPr>
          <t>Introduzca la fecha de inicio del proceso, en formato dd-mm-aaaa</t>
        </r>
      </text>
    </comment>
    <comment ref="F1287" authorId="1" shapeId="0" xr:uid="{0FEF76BB-B730-425A-9922-111B0782FA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8" authorId="1" shapeId="0" xr:uid="{B441CEA7-5D96-4D81-B53D-59D66C5B11B5}">
      <text/>
    </comment>
    <comment ref="C1289" authorId="1" shapeId="0" xr:uid="{7D03A90E-F91A-412E-8EA7-E4EC5FCB7CA2}">
      <text>
        <r>
          <rPr>
            <sz val="11"/>
            <color theme="1"/>
            <rFont val="Calibri"/>
            <family val="2"/>
            <scheme val="minor"/>
          </rPr>
          <t>Introduzca la fecha prevista de adjudicación, en formato dd-mm-aaaa</t>
        </r>
      </text>
    </comment>
    <comment ref="F1289" authorId="1" shapeId="0" xr:uid="{4D7EFC65-1417-444C-943B-2E1B6B3215D6}">
      <text/>
    </comment>
    <comment ref="F1290" authorId="1" shapeId="0" xr:uid="{C5902153-38FB-45F6-A08E-0FCE6B044DA2}">
      <text/>
    </comment>
    <comment ref="A1292" authorId="1" shapeId="0" xr:uid="{58B2EC9D-3972-4DD8-82D9-4D91E8322F4C}">
      <text>
        <r>
          <rPr>
            <sz val="11"/>
            <color theme="1"/>
            <rFont val="Calibri"/>
            <family val="2"/>
            <scheme val="minor"/>
          </rPr>
          <t>Introduzca un codigo UNSPSC</t>
        </r>
      </text>
    </comment>
    <comment ref="B1292" authorId="1" shapeId="0" xr:uid="{C70C3A12-8A41-4273-B087-1A04FE8F11B4}">
      <text>
        <r>
          <rPr>
            <sz val="11"/>
            <color theme="1"/>
            <rFont val="Calibri"/>
            <family val="2"/>
            <scheme val="minor"/>
          </rPr>
          <t>Descripción calculada automáticamente a partir de código del artículo</t>
        </r>
      </text>
    </comment>
    <comment ref="C1292" authorId="1" shapeId="0" xr:uid="{6CE10989-A481-4B09-A467-B19864E41605}">
      <text>
        <r>
          <rPr>
            <sz val="11"/>
            <color theme="1"/>
            <rFont val="Calibri"/>
            <family val="2"/>
            <scheme val="minor"/>
          </rPr>
          <t>Seleccione un valor de la lista</t>
        </r>
      </text>
    </comment>
    <comment ref="D1292" authorId="1" shapeId="0" xr:uid="{29F95EF9-3C06-49AD-9F7C-BB3C22C46E76}">
      <text>
        <r>
          <rPr>
            <sz val="11"/>
            <color theme="1"/>
            <rFont val="Calibri"/>
            <family val="2"/>
            <scheme val="minor"/>
          </rPr>
          <t>Introduzca un número con dos decimales como máximo. Debe ser igual o mayor a la "Cantidad Real Consumida"</t>
        </r>
      </text>
    </comment>
    <comment ref="E1292" authorId="1" shapeId="0" xr:uid="{14CDFDA5-54FF-43CB-B70C-28ED53014492}">
      <text>
        <r>
          <rPr>
            <sz val="11"/>
            <color theme="1"/>
            <rFont val="Calibri"/>
            <family val="2"/>
            <scheme val="minor"/>
          </rPr>
          <t>Introduzca un número con dos decimales como máximo</t>
        </r>
      </text>
    </comment>
    <comment ref="F1292" authorId="1" shapeId="0" xr:uid="{F43C8010-0A9C-48C8-95A8-D79C52FA6F73}">
      <text>
        <r>
          <rPr>
            <sz val="11"/>
            <color theme="1"/>
            <rFont val="Calibri"/>
            <family val="2"/>
            <scheme val="minor"/>
          </rPr>
          <t>Monto calculado automáticamente por el sistema</t>
        </r>
      </text>
    </comment>
    <comment ref="A1307" authorId="1" shapeId="0" xr:uid="{FA3E1FC1-A83D-434F-8DBC-91F392249536}">
      <text>
        <r>
          <rPr>
            <sz val="11"/>
            <color theme="1"/>
            <rFont val="Calibri"/>
            <family val="2"/>
            <scheme val="minor"/>
          </rPr>
          <t>Introducir un texto con el nombre o referencia de la contratación</t>
        </r>
      </text>
    </comment>
    <comment ref="B1307" authorId="1" shapeId="0" xr:uid="{0ACAA810-D3BF-4170-9021-6EB7CDD10060}">
      <text>
        <r>
          <rPr>
            <sz val="11"/>
            <color theme="1"/>
            <rFont val="Calibri"/>
            <family val="2"/>
            <scheme val="minor"/>
          </rPr>
          <t>Introduzca un texto con la finalidad de la contratación</t>
        </r>
      </text>
    </comment>
    <comment ref="C1307" authorId="1" shapeId="0" xr:uid="{1999FAE2-89FA-4D38-A111-0D59B378FAB6}">
      <text>
        <r>
          <rPr>
            <sz val="11"/>
            <color theme="1"/>
            <rFont val="Calibri"/>
            <family val="2"/>
            <scheme val="minor"/>
          </rPr>
          <t>Seleccionar un valor del listado</t>
        </r>
      </text>
    </comment>
    <comment ref="D1307" authorId="1" shapeId="0" xr:uid="{37F4E4D8-4AD9-4EF1-A9B7-D2F2B29B6B1F}">
      <text>
        <r>
          <rPr>
            <sz val="11"/>
            <color theme="1"/>
            <rFont val="Calibri"/>
            <family val="2"/>
            <scheme val="minor"/>
          </rPr>
          <t>Seleccione el tipo de procedimiento</t>
        </r>
      </text>
    </comment>
    <comment ref="E1307" authorId="1" shapeId="0" xr:uid="{9CAAD5CD-71DC-4C44-B97A-CB31A89A6FAF}">
      <text>
        <r>
          <rPr>
            <sz val="11"/>
            <color theme="1"/>
            <rFont val="Calibri"/>
            <family val="2"/>
            <scheme val="minor"/>
          </rPr>
          <t>Seleccione un valor de la lista</t>
        </r>
      </text>
    </comment>
    <comment ref="F1307" authorId="1" shapeId="0" xr:uid="{E14A4B63-7353-4C9B-9C92-01EDDF73784A}">
      <text>
        <r>
          <rPr>
            <sz val="11"/>
            <color theme="1"/>
            <rFont val="Calibri"/>
            <family val="2"/>
            <scheme val="minor"/>
          </rPr>
          <t>Introduzca el código SNIP</t>
        </r>
      </text>
    </comment>
    <comment ref="C1308" authorId="1" shapeId="0" xr:uid="{5B10574B-DB87-400F-8A12-766D612C3516}">
      <text>
        <r>
          <rPr>
            <sz val="11"/>
            <color theme="1"/>
            <rFont val="Calibri"/>
            <family val="2"/>
            <scheme val="minor"/>
          </rPr>
          <t>Introduzca la fecha de inicio del proceso, en formato dd-mm-aaaa</t>
        </r>
      </text>
    </comment>
    <comment ref="F1308" authorId="1" shapeId="0" xr:uid="{1F9671F5-A004-4A0F-A5AC-9A021368F3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9" authorId="1" shapeId="0" xr:uid="{5929A669-D992-422A-88A4-EC7F4BF01E27}">
      <text/>
    </comment>
    <comment ref="C1310" authorId="1" shapeId="0" xr:uid="{BFF2229E-80A3-4AC3-B8A2-F3BA0F3D8FFB}">
      <text>
        <r>
          <rPr>
            <sz val="11"/>
            <color theme="1"/>
            <rFont val="Calibri"/>
            <family val="2"/>
            <scheme val="minor"/>
          </rPr>
          <t>Introduzca la fecha prevista de adjudicación, en formato dd-mm-aaaa</t>
        </r>
      </text>
    </comment>
    <comment ref="F1310" authorId="1" shapeId="0" xr:uid="{D8033401-0A60-4247-8D11-52EBFE0BE92F}">
      <text/>
    </comment>
    <comment ref="F1311" authorId="1" shapeId="0" xr:uid="{3E4AD6CA-55DF-4ADC-8E7B-EF52EFEA3BEE}">
      <text/>
    </comment>
    <comment ref="A1313" authorId="1" shapeId="0" xr:uid="{ED571C0D-09E6-4ACE-AEFB-3D885468ACDF}">
      <text>
        <r>
          <rPr>
            <sz val="11"/>
            <color theme="1"/>
            <rFont val="Calibri"/>
            <family val="2"/>
            <scheme val="minor"/>
          </rPr>
          <t>Introduzca un codigo UNSPSC</t>
        </r>
      </text>
    </comment>
    <comment ref="B1313" authorId="1" shapeId="0" xr:uid="{EDA56CE0-4F49-441F-A958-831C0F06DE2E}">
      <text>
        <r>
          <rPr>
            <sz val="11"/>
            <color theme="1"/>
            <rFont val="Calibri"/>
            <family val="2"/>
            <scheme val="minor"/>
          </rPr>
          <t>Descripción calculada automáticamente a partir de código del artículo</t>
        </r>
      </text>
    </comment>
    <comment ref="C1313" authorId="1" shapeId="0" xr:uid="{189C327B-7D5B-4C27-B404-E889A1C0D36B}">
      <text>
        <r>
          <rPr>
            <sz val="11"/>
            <color theme="1"/>
            <rFont val="Calibri"/>
            <family val="2"/>
            <scheme val="minor"/>
          </rPr>
          <t>Seleccione un valor de la lista</t>
        </r>
      </text>
    </comment>
    <comment ref="D1313" authorId="1" shapeId="0" xr:uid="{E8474E41-728A-4E8F-AFAF-AE3489BBB989}">
      <text>
        <r>
          <rPr>
            <sz val="11"/>
            <color theme="1"/>
            <rFont val="Calibri"/>
            <family val="2"/>
            <scheme val="minor"/>
          </rPr>
          <t>Introduzca un número con dos decimales como máximo. Debe ser igual o mayor a la "Cantidad Real Consumida"</t>
        </r>
      </text>
    </comment>
    <comment ref="E1313" authorId="1" shapeId="0" xr:uid="{3D4CFDC7-8EA8-45B6-A643-87AAF9632C50}">
      <text>
        <r>
          <rPr>
            <sz val="11"/>
            <color theme="1"/>
            <rFont val="Calibri"/>
            <family val="2"/>
            <scheme val="minor"/>
          </rPr>
          <t>Introduzca un número con dos decimales como máximo</t>
        </r>
      </text>
    </comment>
    <comment ref="F1313" authorId="1" shapeId="0" xr:uid="{A34A9885-B75C-4DD3-97C8-EE8707E8E1DE}">
      <text>
        <r>
          <rPr>
            <sz val="11"/>
            <color theme="1"/>
            <rFont val="Calibri"/>
            <family val="2"/>
            <scheme val="minor"/>
          </rPr>
          <t>Monto calculado automáticamente por el sistema</t>
        </r>
      </text>
    </comment>
    <comment ref="A1322" authorId="1" shapeId="0" xr:uid="{A736C91F-B637-4153-AA7D-2A11DAFE55EB}">
      <text>
        <r>
          <rPr>
            <sz val="11"/>
            <color theme="1"/>
            <rFont val="Calibri"/>
            <family val="2"/>
            <scheme val="minor"/>
          </rPr>
          <t>Introducir un texto con el nombre o referencia de la contratación</t>
        </r>
      </text>
    </comment>
    <comment ref="B1322" authorId="1" shapeId="0" xr:uid="{B8E8E511-D0B1-4729-8A2A-5D386A1B11D6}">
      <text>
        <r>
          <rPr>
            <sz val="11"/>
            <color theme="1"/>
            <rFont val="Calibri"/>
            <family val="2"/>
            <scheme val="minor"/>
          </rPr>
          <t>Introduzca un texto con la finalidad de la contratación</t>
        </r>
      </text>
    </comment>
    <comment ref="C1322" authorId="1" shapeId="0" xr:uid="{B565E8D9-3525-4EF1-AD1F-C7F882FC80D1}">
      <text>
        <r>
          <rPr>
            <sz val="11"/>
            <color theme="1"/>
            <rFont val="Calibri"/>
            <family val="2"/>
            <scheme val="minor"/>
          </rPr>
          <t>Seleccionar un valor del listado</t>
        </r>
      </text>
    </comment>
    <comment ref="D1322" authorId="1" shapeId="0" xr:uid="{68652513-5E29-4808-B255-37707803C3B9}">
      <text>
        <r>
          <rPr>
            <sz val="11"/>
            <color theme="1"/>
            <rFont val="Calibri"/>
            <family val="2"/>
            <scheme val="minor"/>
          </rPr>
          <t>Seleccione el tipo de procedimiento</t>
        </r>
      </text>
    </comment>
    <comment ref="E1322" authorId="1" shapeId="0" xr:uid="{7E0E6E7B-CBE9-4B1D-B704-C944FD275218}">
      <text>
        <r>
          <rPr>
            <sz val="11"/>
            <color theme="1"/>
            <rFont val="Calibri"/>
            <family val="2"/>
            <scheme val="minor"/>
          </rPr>
          <t>Seleccione un valor de la lista</t>
        </r>
      </text>
    </comment>
    <comment ref="F1322" authorId="1" shapeId="0" xr:uid="{DDCF7706-2FE5-48C9-853E-75555AAC9C6D}">
      <text>
        <r>
          <rPr>
            <sz val="11"/>
            <color theme="1"/>
            <rFont val="Calibri"/>
            <family val="2"/>
            <scheme val="minor"/>
          </rPr>
          <t>Introduzca el código SNIP</t>
        </r>
      </text>
    </comment>
    <comment ref="C1323" authorId="1" shapeId="0" xr:uid="{D3B955F0-726E-496E-9851-34382FA93A97}">
      <text>
        <r>
          <rPr>
            <sz val="11"/>
            <color theme="1"/>
            <rFont val="Calibri"/>
            <family val="2"/>
            <scheme val="minor"/>
          </rPr>
          <t>Introduzca la fecha de inicio del proceso, en formato dd-mm-aaaa</t>
        </r>
      </text>
    </comment>
    <comment ref="F1323" authorId="1" shapeId="0" xr:uid="{740514B3-D2EB-49AF-8A63-8E8DB22EFC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4" authorId="1" shapeId="0" xr:uid="{36D1347A-D500-4584-8907-9361CB35246A}">
      <text/>
    </comment>
    <comment ref="C1325" authorId="1" shapeId="0" xr:uid="{1916D126-9074-4400-94D5-84BB16FFA1BD}">
      <text>
        <r>
          <rPr>
            <sz val="11"/>
            <color theme="1"/>
            <rFont val="Calibri"/>
            <family val="2"/>
            <scheme val="minor"/>
          </rPr>
          <t>Introduzca la fecha prevista de adjudicación, en formato dd-mm-aaaa</t>
        </r>
      </text>
    </comment>
    <comment ref="F1325" authorId="1" shapeId="0" xr:uid="{93C84A86-22FC-40EA-AF09-8ECB8C1E1F65}">
      <text/>
    </comment>
    <comment ref="F1326" authorId="1" shapeId="0" xr:uid="{D0FA00EC-D46D-4EE6-AAA8-425FF881FC36}">
      <text/>
    </comment>
    <comment ref="A1328" authorId="1" shapeId="0" xr:uid="{CCA1A7DD-EB44-4945-9004-71F017EE47BF}">
      <text>
        <r>
          <rPr>
            <sz val="11"/>
            <color theme="1"/>
            <rFont val="Calibri"/>
            <family val="2"/>
            <scheme val="minor"/>
          </rPr>
          <t>Introduzca un codigo UNSPSC</t>
        </r>
      </text>
    </comment>
    <comment ref="B1328" authorId="1" shapeId="0" xr:uid="{B977152F-DAEC-4BDA-8161-D8AEFA402B64}">
      <text>
        <r>
          <rPr>
            <sz val="11"/>
            <color theme="1"/>
            <rFont val="Calibri"/>
            <family val="2"/>
            <scheme val="minor"/>
          </rPr>
          <t>Descripción calculada automáticamente a partir de código del artículo</t>
        </r>
      </text>
    </comment>
    <comment ref="C1328" authorId="1" shapeId="0" xr:uid="{F7B6BCF9-C779-4216-B83E-704851DFD001}">
      <text>
        <r>
          <rPr>
            <sz val="11"/>
            <color theme="1"/>
            <rFont val="Calibri"/>
            <family val="2"/>
            <scheme val="minor"/>
          </rPr>
          <t>Seleccione un valor de la lista</t>
        </r>
      </text>
    </comment>
    <comment ref="D1328" authorId="1" shapeId="0" xr:uid="{6584D380-BBB6-4714-996B-EB6F150186C3}">
      <text>
        <r>
          <rPr>
            <sz val="11"/>
            <color theme="1"/>
            <rFont val="Calibri"/>
            <family val="2"/>
            <scheme val="minor"/>
          </rPr>
          <t>Introduzca un número con dos decimales como máximo. Debe ser igual o mayor a la "Cantidad Real Consumida"</t>
        </r>
      </text>
    </comment>
    <comment ref="E1328" authorId="1" shapeId="0" xr:uid="{F0882D71-8971-453F-90C9-847D5A1DC78C}">
      <text>
        <r>
          <rPr>
            <sz val="11"/>
            <color theme="1"/>
            <rFont val="Calibri"/>
            <family val="2"/>
            <scheme val="minor"/>
          </rPr>
          <t>Introduzca un número con dos decimales como máximo</t>
        </r>
      </text>
    </comment>
    <comment ref="F1328" authorId="1" shapeId="0" xr:uid="{FB59ABC5-7E2C-4034-8B7C-B38891918FFE}">
      <text>
        <r>
          <rPr>
            <sz val="11"/>
            <color theme="1"/>
            <rFont val="Calibri"/>
            <family val="2"/>
            <scheme val="minor"/>
          </rPr>
          <t>Monto calculado automáticamente por el sistema</t>
        </r>
      </text>
    </comment>
    <comment ref="A1364" authorId="1" shapeId="0" xr:uid="{95A55DF0-8D16-4BEF-B707-AC764718B708}">
      <text>
        <r>
          <rPr>
            <sz val="11"/>
            <color theme="1"/>
            <rFont val="Calibri"/>
            <family val="2"/>
            <scheme val="minor"/>
          </rPr>
          <t>Introducir un texto con el nombre o referencia de la contratación</t>
        </r>
      </text>
    </comment>
    <comment ref="B1364" authorId="1" shapeId="0" xr:uid="{FB9CBD89-E60F-48AA-9A96-BAB2E5084BB9}">
      <text>
        <r>
          <rPr>
            <sz val="11"/>
            <color theme="1"/>
            <rFont val="Calibri"/>
            <family val="2"/>
            <scheme val="minor"/>
          </rPr>
          <t>Introduzca un texto con la finalidad de la contratación</t>
        </r>
      </text>
    </comment>
    <comment ref="C1364" authorId="1" shapeId="0" xr:uid="{A9BC3513-BB70-4EE8-B5F4-52660A33A9B1}">
      <text>
        <r>
          <rPr>
            <sz val="11"/>
            <color theme="1"/>
            <rFont val="Calibri"/>
            <family val="2"/>
            <scheme val="minor"/>
          </rPr>
          <t>Seleccionar un valor del listado</t>
        </r>
      </text>
    </comment>
    <comment ref="D1364" authorId="1" shapeId="0" xr:uid="{E5F5F0C2-BEFB-42F6-A7EA-95759C20EABE}">
      <text>
        <r>
          <rPr>
            <sz val="11"/>
            <color theme="1"/>
            <rFont val="Calibri"/>
            <family val="2"/>
            <scheme val="minor"/>
          </rPr>
          <t>Seleccione el tipo de procedimiento</t>
        </r>
      </text>
    </comment>
    <comment ref="E1364" authorId="1" shapeId="0" xr:uid="{D61345AF-EC23-4654-A71D-81C63ACA0357}">
      <text>
        <r>
          <rPr>
            <sz val="11"/>
            <color theme="1"/>
            <rFont val="Calibri"/>
            <family val="2"/>
            <scheme val="minor"/>
          </rPr>
          <t>Seleccione un valor de la lista</t>
        </r>
      </text>
    </comment>
    <comment ref="F1364" authorId="1" shapeId="0" xr:uid="{60F6ECC9-CFAF-4BDC-9BF6-540DFE2041BF}">
      <text>
        <r>
          <rPr>
            <sz val="11"/>
            <color theme="1"/>
            <rFont val="Calibri"/>
            <family val="2"/>
            <scheme val="minor"/>
          </rPr>
          <t>Introduzca el código SNIP</t>
        </r>
      </text>
    </comment>
    <comment ref="C1365" authorId="1" shapeId="0" xr:uid="{2D503557-621E-4E44-84E9-108B1C51125A}">
      <text>
        <r>
          <rPr>
            <sz val="11"/>
            <color theme="1"/>
            <rFont val="Calibri"/>
            <family val="2"/>
            <scheme val="minor"/>
          </rPr>
          <t>Introduzca la fecha de inicio del proceso, en formato dd-mm-aaaa</t>
        </r>
      </text>
    </comment>
    <comment ref="F1365" authorId="1" shapeId="0" xr:uid="{47A0E75D-2308-45ED-B3EC-EBC6119A9E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6" authorId="1" shapeId="0" xr:uid="{7574DFC3-301B-4A71-876A-D418489B7C1A}">
      <text/>
    </comment>
    <comment ref="C1367" authorId="1" shapeId="0" xr:uid="{D3832AAB-7F96-4624-ABF9-797ECC08303D}">
      <text>
        <r>
          <rPr>
            <sz val="11"/>
            <color theme="1"/>
            <rFont val="Calibri"/>
            <family val="2"/>
            <scheme val="minor"/>
          </rPr>
          <t>Introduzca la fecha prevista de adjudicación, en formato dd-mm-aaaa</t>
        </r>
      </text>
    </comment>
    <comment ref="F1367" authorId="1" shapeId="0" xr:uid="{6944FF07-A8DC-4BFC-A906-25BD65CBEE89}">
      <text/>
    </comment>
    <comment ref="F1368" authorId="1" shapeId="0" xr:uid="{3C4FC990-7291-4185-8106-950D9D071042}">
      <text/>
    </comment>
    <comment ref="A1370" authorId="1" shapeId="0" xr:uid="{7F485648-B204-4C60-9E7C-C26256FF94B7}">
      <text>
        <r>
          <rPr>
            <sz val="11"/>
            <color theme="1"/>
            <rFont val="Calibri"/>
            <family val="2"/>
            <scheme val="minor"/>
          </rPr>
          <t>Introduzca un codigo UNSPSC</t>
        </r>
      </text>
    </comment>
    <comment ref="B1370" authorId="1" shapeId="0" xr:uid="{A42B68D0-8545-46D0-916A-8A557CD6E363}">
      <text>
        <r>
          <rPr>
            <sz val="11"/>
            <color theme="1"/>
            <rFont val="Calibri"/>
            <family val="2"/>
            <scheme val="minor"/>
          </rPr>
          <t>Descripción calculada automáticamente a partir de código del artículo</t>
        </r>
      </text>
    </comment>
    <comment ref="C1370" authorId="1" shapeId="0" xr:uid="{F486562C-05EE-431B-9E4C-0CC91F03B3AD}">
      <text>
        <r>
          <rPr>
            <sz val="11"/>
            <color theme="1"/>
            <rFont val="Calibri"/>
            <family val="2"/>
            <scheme val="minor"/>
          </rPr>
          <t>Seleccione un valor de la lista</t>
        </r>
      </text>
    </comment>
    <comment ref="D1370" authorId="1" shapeId="0" xr:uid="{B0889ACA-B39A-4732-9923-9A2ED6F42B3F}">
      <text>
        <r>
          <rPr>
            <sz val="11"/>
            <color theme="1"/>
            <rFont val="Calibri"/>
            <family val="2"/>
            <scheme val="minor"/>
          </rPr>
          <t>Introduzca un número con dos decimales como máximo. Debe ser igual o mayor a la "Cantidad Real Consumida"</t>
        </r>
      </text>
    </comment>
    <comment ref="E1370" authorId="1" shapeId="0" xr:uid="{2D7D88C0-35CD-41C4-A568-8B057BE5E79B}">
      <text>
        <r>
          <rPr>
            <sz val="11"/>
            <color theme="1"/>
            <rFont val="Calibri"/>
            <family val="2"/>
            <scheme val="minor"/>
          </rPr>
          <t>Introduzca un número con dos decimales como máximo</t>
        </r>
      </text>
    </comment>
    <comment ref="F1370" authorId="1" shapeId="0" xr:uid="{6BD34977-6D40-4CD6-80D6-1E2BD9B7D67C}">
      <text>
        <r>
          <rPr>
            <sz val="11"/>
            <color theme="1"/>
            <rFont val="Calibri"/>
            <family val="2"/>
            <scheme val="minor"/>
          </rPr>
          <t>Monto calculado automáticamente por el sistema</t>
        </r>
      </text>
    </comment>
    <comment ref="A1379" authorId="1" shapeId="0" xr:uid="{99D01345-A240-4289-9DD2-2309A8898D24}">
      <text>
        <r>
          <rPr>
            <sz val="11"/>
            <color theme="1"/>
            <rFont val="Calibri"/>
            <family val="2"/>
            <scheme val="minor"/>
          </rPr>
          <t>Introducir un texto con el nombre o referencia de la contratación</t>
        </r>
      </text>
    </comment>
    <comment ref="B1379" authorId="1" shapeId="0" xr:uid="{27D2F324-BA5F-4AE4-A79A-67BE2D865828}">
      <text>
        <r>
          <rPr>
            <sz val="11"/>
            <color theme="1"/>
            <rFont val="Calibri"/>
            <family val="2"/>
            <scheme val="minor"/>
          </rPr>
          <t>Introduzca un texto con la finalidad de la contratación</t>
        </r>
      </text>
    </comment>
    <comment ref="C1379" authorId="1" shapeId="0" xr:uid="{D4D0DB51-5D28-4D86-81C5-B1D2361E31EB}">
      <text>
        <r>
          <rPr>
            <sz val="11"/>
            <color theme="1"/>
            <rFont val="Calibri"/>
            <family val="2"/>
            <scheme val="minor"/>
          </rPr>
          <t>Seleccionar un valor del listado</t>
        </r>
      </text>
    </comment>
    <comment ref="D1379" authorId="1" shapeId="0" xr:uid="{09A18397-9BE4-405C-9F45-F14407BC2973}">
      <text>
        <r>
          <rPr>
            <sz val="11"/>
            <color theme="1"/>
            <rFont val="Calibri"/>
            <family val="2"/>
            <scheme val="minor"/>
          </rPr>
          <t>Seleccione el tipo de procedimiento</t>
        </r>
      </text>
    </comment>
    <comment ref="E1379" authorId="1" shapeId="0" xr:uid="{597C754C-CC67-40F8-9487-AF3987C07172}">
      <text>
        <r>
          <rPr>
            <sz val="11"/>
            <color theme="1"/>
            <rFont val="Calibri"/>
            <family val="2"/>
            <scheme val="minor"/>
          </rPr>
          <t>Seleccione un valor de la lista</t>
        </r>
      </text>
    </comment>
    <comment ref="F1379" authorId="1" shapeId="0" xr:uid="{3749B1BF-BBE4-4F11-B9F3-2CDB8568A52A}">
      <text>
        <r>
          <rPr>
            <sz val="11"/>
            <color theme="1"/>
            <rFont val="Calibri"/>
            <family val="2"/>
            <scheme val="minor"/>
          </rPr>
          <t>Introduzca el código SNIP</t>
        </r>
      </text>
    </comment>
    <comment ref="C1380" authorId="1" shapeId="0" xr:uid="{48CF1CFE-67E9-40C9-890E-AA5F80793F2B}">
      <text>
        <r>
          <rPr>
            <sz val="11"/>
            <color theme="1"/>
            <rFont val="Calibri"/>
            <family val="2"/>
            <scheme val="minor"/>
          </rPr>
          <t>Introduzca la fecha de inicio del proceso, en formato dd-mm-aaaa</t>
        </r>
      </text>
    </comment>
    <comment ref="F1380" authorId="1" shapeId="0" xr:uid="{C890B16C-0E51-427E-AA68-B1F18CE7F6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1" authorId="1" shapeId="0" xr:uid="{7D0B592E-0031-43AC-9FDB-461A3F050602}">
      <text/>
    </comment>
    <comment ref="C1382" authorId="1" shapeId="0" xr:uid="{33692EDB-97DA-4638-A852-1E38014B4CF1}">
      <text>
        <r>
          <rPr>
            <sz val="11"/>
            <color theme="1"/>
            <rFont val="Calibri"/>
            <family val="2"/>
            <scheme val="minor"/>
          </rPr>
          <t>Introduzca la fecha prevista de adjudicación, en formato dd-mm-aaaa</t>
        </r>
      </text>
    </comment>
    <comment ref="F1382" authorId="1" shapeId="0" xr:uid="{E4125872-7B63-4358-B17B-2CAC57882333}">
      <text/>
    </comment>
    <comment ref="F1383" authorId="1" shapeId="0" xr:uid="{BDEFB857-FE5D-42C1-A5B6-84ECC946FECC}">
      <text/>
    </comment>
    <comment ref="A1385" authorId="1" shapeId="0" xr:uid="{8073EDD5-7BD2-4496-8942-24A60BBA8DC0}">
      <text>
        <r>
          <rPr>
            <sz val="11"/>
            <color theme="1"/>
            <rFont val="Calibri"/>
            <family val="2"/>
            <scheme val="minor"/>
          </rPr>
          <t>Introduzca un codigo UNSPSC</t>
        </r>
      </text>
    </comment>
    <comment ref="B1385" authorId="1" shapeId="0" xr:uid="{84FD05C7-5D93-4CA5-953C-003551004DEA}">
      <text>
        <r>
          <rPr>
            <sz val="11"/>
            <color theme="1"/>
            <rFont val="Calibri"/>
            <family val="2"/>
            <scheme val="minor"/>
          </rPr>
          <t>Descripción calculada automáticamente a partir de código del artículo</t>
        </r>
      </text>
    </comment>
    <comment ref="C1385" authorId="1" shapeId="0" xr:uid="{370E21C6-5C1D-4B4D-AA51-FF4530DFE8B9}">
      <text>
        <r>
          <rPr>
            <sz val="11"/>
            <color theme="1"/>
            <rFont val="Calibri"/>
            <family val="2"/>
            <scheme val="minor"/>
          </rPr>
          <t>Seleccione un valor de la lista</t>
        </r>
      </text>
    </comment>
    <comment ref="D1385" authorId="1" shapeId="0" xr:uid="{EAAD0596-A0EA-4A73-9911-FA6888D6A22D}">
      <text>
        <r>
          <rPr>
            <sz val="11"/>
            <color theme="1"/>
            <rFont val="Calibri"/>
            <family val="2"/>
            <scheme val="minor"/>
          </rPr>
          <t>Introduzca un número con dos decimales como máximo. Debe ser igual o mayor a la "Cantidad Real Consumida"</t>
        </r>
      </text>
    </comment>
    <comment ref="E1385" authorId="1" shapeId="0" xr:uid="{C5C612D1-63EF-4FFD-81FF-287E9AFC87A6}">
      <text>
        <r>
          <rPr>
            <sz val="11"/>
            <color theme="1"/>
            <rFont val="Calibri"/>
            <family val="2"/>
            <scheme val="minor"/>
          </rPr>
          <t>Introduzca un número con dos decimales como máximo</t>
        </r>
      </text>
    </comment>
    <comment ref="F1385" authorId="1" shapeId="0" xr:uid="{67662A3A-A4D8-4ABE-88E1-FCE66FD7A7C7}">
      <text>
        <r>
          <rPr>
            <sz val="11"/>
            <color theme="1"/>
            <rFont val="Calibri"/>
            <family val="2"/>
            <scheme val="minor"/>
          </rPr>
          <t>Monto calculado automáticamente por el sistema</t>
        </r>
      </text>
    </comment>
    <comment ref="A1414" authorId="1" shapeId="0" xr:uid="{21BF35B0-0100-484E-8FB4-78C407E2CAA6}">
      <text>
        <r>
          <rPr>
            <sz val="11"/>
            <color theme="1"/>
            <rFont val="Calibri"/>
            <family val="2"/>
            <scheme val="minor"/>
          </rPr>
          <t>Introducir un texto con el nombre o referencia de la contratación</t>
        </r>
      </text>
    </comment>
    <comment ref="B1414" authorId="1" shapeId="0" xr:uid="{B93C2BB1-FBF2-4936-9714-2FD3B1E802F6}">
      <text>
        <r>
          <rPr>
            <sz val="11"/>
            <color theme="1"/>
            <rFont val="Calibri"/>
            <family val="2"/>
            <scheme val="minor"/>
          </rPr>
          <t>Introduzca un texto con la finalidad de la contratación</t>
        </r>
      </text>
    </comment>
    <comment ref="C1414" authorId="1" shapeId="0" xr:uid="{0EECD6D9-81A0-4F61-AEE1-CC231F84D8C4}">
      <text>
        <r>
          <rPr>
            <sz val="11"/>
            <color theme="1"/>
            <rFont val="Calibri"/>
            <family val="2"/>
            <scheme val="minor"/>
          </rPr>
          <t>Seleccionar un valor del listado</t>
        </r>
      </text>
    </comment>
    <comment ref="D1414" authorId="1" shapeId="0" xr:uid="{CDCEB4A5-0134-4DC9-B082-3495A7812A90}">
      <text>
        <r>
          <rPr>
            <sz val="11"/>
            <color theme="1"/>
            <rFont val="Calibri"/>
            <family val="2"/>
            <scheme val="minor"/>
          </rPr>
          <t>Seleccione el tipo de procedimiento</t>
        </r>
      </text>
    </comment>
    <comment ref="E1414" authorId="1" shapeId="0" xr:uid="{A9B7CCB8-246B-489E-BAE0-E77B7057BD38}">
      <text>
        <r>
          <rPr>
            <sz val="11"/>
            <color theme="1"/>
            <rFont val="Calibri"/>
            <family val="2"/>
            <scheme val="minor"/>
          </rPr>
          <t>Seleccione un valor de la lista</t>
        </r>
      </text>
    </comment>
    <comment ref="F1414" authorId="1" shapeId="0" xr:uid="{EF41BB43-2497-4EB4-AD7B-E341704A74BB}">
      <text>
        <r>
          <rPr>
            <sz val="11"/>
            <color theme="1"/>
            <rFont val="Calibri"/>
            <family val="2"/>
            <scheme val="minor"/>
          </rPr>
          <t>Introduzca el código SNIP</t>
        </r>
      </text>
    </comment>
    <comment ref="C1415" authorId="1" shapeId="0" xr:uid="{389B417F-89CD-4876-B2F3-96B3A3E1809A}">
      <text>
        <r>
          <rPr>
            <sz val="11"/>
            <color theme="1"/>
            <rFont val="Calibri"/>
            <family val="2"/>
            <scheme val="minor"/>
          </rPr>
          <t>Introduzca la fecha de inicio del proceso, en formato dd-mm-aaaa</t>
        </r>
      </text>
    </comment>
    <comment ref="F1415" authorId="1" shapeId="0" xr:uid="{C8EFC6D7-8BAA-46AB-8679-0376168A8FA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6" authorId="1" shapeId="0" xr:uid="{5B96B649-B408-47AA-8D33-68FDE40A150A}">
      <text/>
    </comment>
    <comment ref="C1417" authorId="1" shapeId="0" xr:uid="{C16EC4C9-81A4-49E7-90D9-1BD7EEA87857}">
      <text>
        <r>
          <rPr>
            <sz val="11"/>
            <color theme="1"/>
            <rFont val="Calibri"/>
            <family val="2"/>
            <scheme val="minor"/>
          </rPr>
          <t>Introduzca la fecha prevista de adjudicación, en formato dd-mm-aaaa</t>
        </r>
      </text>
    </comment>
    <comment ref="F1417" authorId="1" shapeId="0" xr:uid="{AF87AA71-E92C-4AA9-83B8-CD4D59C1EE3A}">
      <text/>
    </comment>
    <comment ref="F1418" authorId="1" shapeId="0" xr:uid="{51B55C0C-53CC-4866-A9D7-206D83895170}">
      <text/>
    </comment>
    <comment ref="A1420" authorId="1" shapeId="0" xr:uid="{9F82837D-3756-4D0C-987A-18B15B6EB7FD}">
      <text>
        <r>
          <rPr>
            <sz val="11"/>
            <color theme="1"/>
            <rFont val="Calibri"/>
            <family val="2"/>
            <scheme val="minor"/>
          </rPr>
          <t>Introduzca un codigo UNSPSC</t>
        </r>
      </text>
    </comment>
    <comment ref="B1420" authorId="1" shapeId="0" xr:uid="{25B57D98-4EEC-4269-A087-14188072DBF6}">
      <text>
        <r>
          <rPr>
            <sz val="11"/>
            <color theme="1"/>
            <rFont val="Calibri"/>
            <family val="2"/>
            <scheme val="minor"/>
          </rPr>
          <t>Descripción calculada automáticamente a partir de código del artículo</t>
        </r>
      </text>
    </comment>
    <comment ref="C1420" authorId="1" shapeId="0" xr:uid="{8FF7C058-65F6-4B6C-AD37-F866F33D0BF1}">
      <text>
        <r>
          <rPr>
            <sz val="11"/>
            <color theme="1"/>
            <rFont val="Calibri"/>
            <family val="2"/>
            <scheme val="minor"/>
          </rPr>
          <t>Seleccione un valor de la lista</t>
        </r>
      </text>
    </comment>
    <comment ref="D1420" authorId="1" shapeId="0" xr:uid="{46C8CBFA-E48A-4AD9-8068-CEAE032E03F3}">
      <text>
        <r>
          <rPr>
            <sz val="11"/>
            <color theme="1"/>
            <rFont val="Calibri"/>
            <family val="2"/>
            <scheme val="minor"/>
          </rPr>
          <t>Introduzca un número con dos decimales como máximo. Debe ser igual o mayor a la "Cantidad Real Consumida"</t>
        </r>
      </text>
    </comment>
    <comment ref="E1420" authorId="1" shapeId="0" xr:uid="{F327F2BD-E534-4E1C-82C2-F66B7ED7EB86}">
      <text>
        <r>
          <rPr>
            <sz val="11"/>
            <color theme="1"/>
            <rFont val="Calibri"/>
            <family val="2"/>
            <scheme val="minor"/>
          </rPr>
          <t>Introduzca un número con dos decimales como máximo</t>
        </r>
      </text>
    </comment>
    <comment ref="F1420" authorId="1" shapeId="0" xr:uid="{8ACFE632-949F-434D-A09A-FE626EA2FF4B}">
      <text>
        <r>
          <rPr>
            <sz val="11"/>
            <color theme="1"/>
            <rFont val="Calibri"/>
            <family val="2"/>
            <scheme val="minor"/>
          </rPr>
          <t>Monto calculado automáticamente por el sistema</t>
        </r>
      </text>
    </comment>
    <comment ref="A1435" authorId="1" shapeId="0" xr:uid="{AA3C3407-8320-437A-87C0-CD290FBFD97A}">
      <text>
        <r>
          <rPr>
            <sz val="11"/>
            <color theme="1"/>
            <rFont val="Calibri"/>
            <family val="2"/>
            <scheme val="minor"/>
          </rPr>
          <t>Introducir un texto con el nombre o referencia de la contratación</t>
        </r>
      </text>
    </comment>
    <comment ref="B1435" authorId="1" shapeId="0" xr:uid="{1898FF0C-33B2-438C-8800-7FD64F22B1C4}">
      <text>
        <r>
          <rPr>
            <sz val="11"/>
            <color theme="1"/>
            <rFont val="Calibri"/>
            <family val="2"/>
            <scheme val="minor"/>
          </rPr>
          <t>Introduzca un texto con la finalidad de la contratación</t>
        </r>
      </text>
    </comment>
    <comment ref="C1435" authorId="1" shapeId="0" xr:uid="{4A875F53-DD8A-44FF-AF59-5EA3F6E3CE17}">
      <text>
        <r>
          <rPr>
            <sz val="11"/>
            <color theme="1"/>
            <rFont val="Calibri"/>
            <family val="2"/>
            <scheme val="minor"/>
          </rPr>
          <t>Seleccionar un valor del listado</t>
        </r>
      </text>
    </comment>
    <comment ref="D1435" authorId="1" shapeId="0" xr:uid="{09B85F1C-C3B2-45E1-B0C0-889789F62F21}">
      <text>
        <r>
          <rPr>
            <sz val="11"/>
            <color theme="1"/>
            <rFont val="Calibri"/>
            <family val="2"/>
            <scheme val="minor"/>
          </rPr>
          <t>Seleccione el tipo de procedimiento</t>
        </r>
      </text>
    </comment>
    <comment ref="E1435" authorId="1" shapeId="0" xr:uid="{C1360B6B-463F-4851-86C2-1ED13A937EAB}">
      <text>
        <r>
          <rPr>
            <sz val="11"/>
            <color theme="1"/>
            <rFont val="Calibri"/>
            <family val="2"/>
            <scheme val="minor"/>
          </rPr>
          <t>Seleccione un valor de la lista</t>
        </r>
      </text>
    </comment>
    <comment ref="F1435" authorId="1" shapeId="0" xr:uid="{1106A743-D392-4F81-B9A7-7CF6D01B02DA}">
      <text>
        <r>
          <rPr>
            <sz val="11"/>
            <color theme="1"/>
            <rFont val="Calibri"/>
            <family val="2"/>
            <scheme val="minor"/>
          </rPr>
          <t>Introduzca el código SNIP</t>
        </r>
      </text>
    </comment>
    <comment ref="C1436" authorId="1" shapeId="0" xr:uid="{43AF1D3F-6C0E-43AB-B216-66DC388DB814}">
      <text>
        <r>
          <rPr>
            <sz val="11"/>
            <color theme="1"/>
            <rFont val="Calibri"/>
            <family val="2"/>
            <scheme val="minor"/>
          </rPr>
          <t>Introduzca la fecha de inicio del proceso, en formato dd-mm-aaaa</t>
        </r>
      </text>
    </comment>
    <comment ref="F1436" authorId="1" shapeId="0" xr:uid="{6CA5AE94-3239-410C-89F6-E4734C7ABC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7" authorId="1" shapeId="0" xr:uid="{609B6019-F86C-49CA-9571-C8121082124D}">
      <text/>
    </comment>
    <comment ref="C1438" authorId="1" shapeId="0" xr:uid="{E68BF44E-A785-4CBC-B0C0-36A35D29589F}">
      <text>
        <r>
          <rPr>
            <sz val="11"/>
            <color theme="1"/>
            <rFont val="Calibri"/>
            <family val="2"/>
            <scheme val="minor"/>
          </rPr>
          <t>Introduzca la fecha prevista de adjudicación, en formato dd-mm-aaaa</t>
        </r>
      </text>
    </comment>
    <comment ref="F1438" authorId="1" shapeId="0" xr:uid="{4213D4E4-D0EB-4700-B182-71594638969D}">
      <text/>
    </comment>
    <comment ref="F1439" authorId="1" shapeId="0" xr:uid="{70626996-9431-4297-9435-02002F5C3964}">
      <text/>
    </comment>
    <comment ref="A1441" authorId="1" shapeId="0" xr:uid="{2E1F5873-52F1-4389-8AE5-36D29074B4B7}">
      <text>
        <r>
          <rPr>
            <sz val="11"/>
            <color theme="1"/>
            <rFont val="Calibri"/>
            <family val="2"/>
            <scheme val="minor"/>
          </rPr>
          <t>Introduzca un codigo UNSPSC</t>
        </r>
      </text>
    </comment>
    <comment ref="B1441" authorId="1" shapeId="0" xr:uid="{AF3E7518-F17C-45D8-B5DB-28DE55CD91AE}">
      <text>
        <r>
          <rPr>
            <sz val="11"/>
            <color theme="1"/>
            <rFont val="Calibri"/>
            <family val="2"/>
            <scheme val="minor"/>
          </rPr>
          <t>Descripción calculada automáticamente a partir de código del artículo</t>
        </r>
      </text>
    </comment>
    <comment ref="C1441" authorId="1" shapeId="0" xr:uid="{F0AA5111-39EF-42C5-92A3-0949A60106F0}">
      <text>
        <r>
          <rPr>
            <sz val="11"/>
            <color theme="1"/>
            <rFont val="Calibri"/>
            <family val="2"/>
            <scheme val="minor"/>
          </rPr>
          <t>Seleccione un valor de la lista</t>
        </r>
      </text>
    </comment>
    <comment ref="D1441" authorId="1" shapeId="0" xr:uid="{A47C9305-6627-40B0-AFF7-79A4D265B4FF}">
      <text>
        <r>
          <rPr>
            <sz val="11"/>
            <color theme="1"/>
            <rFont val="Calibri"/>
            <family val="2"/>
            <scheme val="minor"/>
          </rPr>
          <t>Introduzca un número con dos decimales como máximo. Debe ser igual o mayor a la "Cantidad Real Consumida"</t>
        </r>
      </text>
    </comment>
    <comment ref="E1441" authorId="1" shapeId="0" xr:uid="{03C3DD4A-D84C-4735-A87F-B74928D759B3}">
      <text>
        <r>
          <rPr>
            <sz val="11"/>
            <color theme="1"/>
            <rFont val="Calibri"/>
            <family val="2"/>
            <scheme val="minor"/>
          </rPr>
          <t>Introduzca un número con dos decimales como máximo</t>
        </r>
      </text>
    </comment>
    <comment ref="F1441" authorId="1" shapeId="0" xr:uid="{EF3D54EB-C6FA-4048-A49E-D82C0762AD8A}">
      <text>
        <r>
          <rPr>
            <sz val="11"/>
            <color theme="1"/>
            <rFont val="Calibri"/>
            <family val="2"/>
            <scheme val="minor"/>
          </rPr>
          <t>Monto calculado automáticamente por el sistema</t>
        </r>
      </text>
    </comment>
    <comment ref="A1475" authorId="1" shapeId="0" xr:uid="{DEE2DA9D-E7D7-4CF0-AD05-D0C8FAAB364C}">
      <text>
        <r>
          <rPr>
            <sz val="11"/>
            <color theme="1"/>
            <rFont val="Calibri"/>
            <family val="2"/>
            <scheme val="minor"/>
          </rPr>
          <t>Introducir un texto con el nombre o referencia de la contratación</t>
        </r>
      </text>
    </comment>
    <comment ref="B1475" authorId="1" shapeId="0" xr:uid="{E0135909-2453-4AAA-91EC-CEBCF8C2BC41}">
      <text>
        <r>
          <rPr>
            <sz val="11"/>
            <color theme="1"/>
            <rFont val="Calibri"/>
            <family val="2"/>
            <scheme val="minor"/>
          </rPr>
          <t>Introduzca un texto con la finalidad de la contratación</t>
        </r>
      </text>
    </comment>
    <comment ref="C1475" authorId="1" shapeId="0" xr:uid="{8F02C16D-F18F-4D71-9E31-C3192D46F553}">
      <text>
        <r>
          <rPr>
            <sz val="11"/>
            <color theme="1"/>
            <rFont val="Calibri"/>
            <family val="2"/>
            <scheme val="minor"/>
          </rPr>
          <t>Seleccionar un valor del listado</t>
        </r>
      </text>
    </comment>
    <comment ref="D1475" authorId="1" shapeId="0" xr:uid="{64B8A84D-8EFD-4DF8-A252-E8D8945EC454}">
      <text>
        <r>
          <rPr>
            <sz val="11"/>
            <color theme="1"/>
            <rFont val="Calibri"/>
            <family val="2"/>
            <scheme val="minor"/>
          </rPr>
          <t>Seleccione el tipo de procedimiento</t>
        </r>
      </text>
    </comment>
    <comment ref="E1475" authorId="1" shapeId="0" xr:uid="{40CD8C0D-87D3-44FA-8034-670786A23E03}">
      <text>
        <r>
          <rPr>
            <sz val="11"/>
            <color theme="1"/>
            <rFont val="Calibri"/>
            <family val="2"/>
            <scheme val="minor"/>
          </rPr>
          <t>Seleccione un valor de la lista</t>
        </r>
      </text>
    </comment>
    <comment ref="F1475" authorId="1" shapeId="0" xr:uid="{6FD98DF6-763D-4E44-96D7-690F4EF79087}">
      <text>
        <r>
          <rPr>
            <sz val="11"/>
            <color theme="1"/>
            <rFont val="Calibri"/>
            <family val="2"/>
            <scheme val="minor"/>
          </rPr>
          <t>Introduzca el código SNIP</t>
        </r>
      </text>
    </comment>
    <comment ref="C1476" authorId="1" shapeId="0" xr:uid="{99913851-4B6D-42B8-B293-F90E19CE75DA}">
      <text>
        <r>
          <rPr>
            <sz val="11"/>
            <color theme="1"/>
            <rFont val="Calibri"/>
            <family val="2"/>
            <scheme val="minor"/>
          </rPr>
          <t>Introduzca la fecha de inicio del proceso, en formato dd-mm-aaaa</t>
        </r>
      </text>
    </comment>
    <comment ref="F1476" authorId="1" shapeId="0" xr:uid="{B18EE8AD-0F4E-4AC3-9AE8-F5D7F0BC44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7" authorId="1" shapeId="0" xr:uid="{3864996C-C6AE-4BFE-99CB-261FDEA60CF9}">
      <text/>
    </comment>
    <comment ref="C1478" authorId="1" shapeId="0" xr:uid="{E8C5DDD8-9454-4620-A005-2EFF42A87F95}">
      <text>
        <r>
          <rPr>
            <sz val="11"/>
            <color theme="1"/>
            <rFont val="Calibri"/>
            <family val="2"/>
            <scheme val="minor"/>
          </rPr>
          <t>Introduzca la fecha prevista de adjudicación, en formato dd-mm-aaaa</t>
        </r>
      </text>
    </comment>
    <comment ref="F1478" authorId="1" shapeId="0" xr:uid="{B53C9070-19EB-4214-A9EA-9EF4F6769433}">
      <text/>
    </comment>
    <comment ref="F1479" authorId="1" shapeId="0" xr:uid="{12A75F09-F94C-48D7-9342-AD78FD1A57BE}">
      <text/>
    </comment>
    <comment ref="A1481" authorId="1" shapeId="0" xr:uid="{252AA0FE-3B98-4520-A06D-E061AC00A256}">
      <text>
        <r>
          <rPr>
            <sz val="11"/>
            <color theme="1"/>
            <rFont val="Calibri"/>
            <family val="2"/>
            <scheme val="minor"/>
          </rPr>
          <t>Introduzca un codigo UNSPSC</t>
        </r>
      </text>
    </comment>
    <comment ref="B1481" authorId="1" shapeId="0" xr:uid="{3675758E-C84B-4E00-B468-2DD4759D7323}">
      <text>
        <r>
          <rPr>
            <sz val="11"/>
            <color theme="1"/>
            <rFont val="Calibri"/>
            <family val="2"/>
            <scheme val="minor"/>
          </rPr>
          <t>Descripción calculada automáticamente a partir de código del artículo</t>
        </r>
      </text>
    </comment>
    <comment ref="C1481" authorId="1" shapeId="0" xr:uid="{BCCE05A9-77AC-472B-A5B5-C870921CB750}">
      <text>
        <r>
          <rPr>
            <sz val="11"/>
            <color theme="1"/>
            <rFont val="Calibri"/>
            <family val="2"/>
            <scheme val="minor"/>
          </rPr>
          <t>Seleccione un valor de la lista</t>
        </r>
      </text>
    </comment>
    <comment ref="D1481" authorId="1" shapeId="0" xr:uid="{4A6823F5-45E7-49D2-AE73-8166857E7236}">
      <text>
        <r>
          <rPr>
            <sz val="11"/>
            <color theme="1"/>
            <rFont val="Calibri"/>
            <family val="2"/>
            <scheme val="minor"/>
          </rPr>
          <t>Introduzca un número con dos decimales como máximo. Debe ser igual o mayor a la "Cantidad Real Consumida"</t>
        </r>
      </text>
    </comment>
    <comment ref="E1481" authorId="1" shapeId="0" xr:uid="{89E91E09-FA23-4139-A024-9243CF9F964C}">
      <text>
        <r>
          <rPr>
            <sz val="11"/>
            <color theme="1"/>
            <rFont val="Calibri"/>
            <family val="2"/>
            <scheme val="minor"/>
          </rPr>
          <t>Introduzca un número con dos decimales como máximo</t>
        </r>
      </text>
    </comment>
    <comment ref="F1481" authorId="1" shapeId="0" xr:uid="{7215F3E1-071D-497F-A58F-D177A70FDB3A}">
      <text>
        <r>
          <rPr>
            <sz val="11"/>
            <color theme="1"/>
            <rFont val="Calibri"/>
            <family val="2"/>
            <scheme val="minor"/>
          </rPr>
          <t>Monto calculado automáticamente por el sistema</t>
        </r>
      </text>
    </comment>
    <comment ref="A1502" authorId="1" shapeId="0" xr:uid="{40E4A3B7-90F0-4292-9DAF-0F01EA2D848F}">
      <text>
        <r>
          <rPr>
            <sz val="11"/>
            <color theme="1"/>
            <rFont val="Calibri"/>
            <family val="2"/>
            <scheme val="minor"/>
          </rPr>
          <t>Introducir un texto con el nombre o referencia de la contratación</t>
        </r>
      </text>
    </comment>
    <comment ref="B1502" authorId="1" shapeId="0" xr:uid="{87F9FC5B-17E0-4B26-9178-039D1115E060}">
      <text>
        <r>
          <rPr>
            <sz val="11"/>
            <color theme="1"/>
            <rFont val="Calibri"/>
            <family val="2"/>
            <scheme val="minor"/>
          </rPr>
          <t>Introduzca un texto con la finalidad de la contratación</t>
        </r>
      </text>
    </comment>
    <comment ref="C1502" authorId="1" shapeId="0" xr:uid="{6F8E8413-0860-4C87-9A4F-91ACD616DEEF}">
      <text>
        <r>
          <rPr>
            <sz val="11"/>
            <color theme="1"/>
            <rFont val="Calibri"/>
            <family val="2"/>
            <scheme val="minor"/>
          </rPr>
          <t>Seleccionar un valor del listado</t>
        </r>
      </text>
    </comment>
    <comment ref="D1502" authorId="1" shapeId="0" xr:uid="{4C4ABBDC-090F-4945-9A4E-E8C756099BE6}">
      <text>
        <r>
          <rPr>
            <sz val="11"/>
            <color theme="1"/>
            <rFont val="Calibri"/>
            <family val="2"/>
            <scheme val="minor"/>
          </rPr>
          <t>Seleccione el tipo de procedimiento</t>
        </r>
      </text>
    </comment>
    <comment ref="E1502" authorId="1" shapeId="0" xr:uid="{E7D159E0-C697-430F-AECE-532D458AC64D}">
      <text>
        <r>
          <rPr>
            <sz val="11"/>
            <color theme="1"/>
            <rFont val="Calibri"/>
            <family val="2"/>
            <scheme val="minor"/>
          </rPr>
          <t>Seleccione un valor de la lista</t>
        </r>
      </text>
    </comment>
    <comment ref="F1502" authorId="1" shapeId="0" xr:uid="{E45C923A-8BC8-4F2C-B0D4-D8810DFE454A}">
      <text>
        <r>
          <rPr>
            <sz val="11"/>
            <color theme="1"/>
            <rFont val="Calibri"/>
            <family val="2"/>
            <scheme val="minor"/>
          </rPr>
          <t>Introduzca el código SNIP</t>
        </r>
      </text>
    </comment>
    <comment ref="C1503" authorId="1" shapeId="0" xr:uid="{AA4AA8D6-A4C1-4B75-8258-09C88F5D39E5}">
      <text>
        <r>
          <rPr>
            <sz val="11"/>
            <color theme="1"/>
            <rFont val="Calibri"/>
            <family val="2"/>
            <scheme val="minor"/>
          </rPr>
          <t>Introduzca la fecha de inicio del proceso, en formato dd-mm-aaaa</t>
        </r>
      </text>
    </comment>
    <comment ref="F1503" authorId="1" shapeId="0" xr:uid="{2A66D927-91D8-460A-BFFD-38F71D0C84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4" authorId="1" shapeId="0" xr:uid="{4AC631BC-FDA9-4F55-BA33-560CF1C7D04A}">
      <text/>
    </comment>
    <comment ref="C1505" authorId="1" shapeId="0" xr:uid="{85981CF8-7AB8-4512-8E5A-E7477B1DBC29}">
      <text>
        <r>
          <rPr>
            <sz val="11"/>
            <color theme="1"/>
            <rFont val="Calibri"/>
            <family val="2"/>
            <scheme val="minor"/>
          </rPr>
          <t>Introduzca la fecha prevista de adjudicación, en formato dd-mm-aaaa</t>
        </r>
      </text>
    </comment>
    <comment ref="F1505" authorId="1" shapeId="0" xr:uid="{C1BA1C30-63F5-4597-A242-5FE2470DBCF8}">
      <text/>
    </comment>
    <comment ref="F1506" authorId="1" shapeId="0" xr:uid="{4BE84F48-8564-4F6D-B29C-1F5473E630AC}">
      <text/>
    </comment>
    <comment ref="A1508" authorId="1" shapeId="0" xr:uid="{FA1D19FB-BED2-4730-8C36-D76359816B15}">
      <text>
        <r>
          <rPr>
            <sz val="11"/>
            <color theme="1"/>
            <rFont val="Calibri"/>
            <family val="2"/>
            <scheme val="minor"/>
          </rPr>
          <t>Introduzca un codigo UNSPSC</t>
        </r>
      </text>
    </comment>
    <comment ref="B1508" authorId="1" shapeId="0" xr:uid="{76F87F9D-683C-4A4A-9410-1135A8665080}">
      <text>
        <r>
          <rPr>
            <sz val="11"/>
            <color theme="1"/>
            <rFont val="Calibri"/>
            <family val="2"/>
            <scheme val="minor"/>
          </rPr>
          <t>Descripción calculada automáticamente a partir de código del artículo</t>
        </r>
      </text>
    </comment>
    <comment ref="C1508" authorId="1" shapeId="0" xr:uid="{26DC884E-1322-4B87-9324-C052FF91A3F9}">
      <text>
        <r>
          <rPr>
            <sz val="11"/>
            <color theme="1"/>
            <rFont val="Calibri"/>
            <family val="2"/>
            <scheme val="minor"/>
          </rPr>
          <t>Seleccione un valor de la lista</t>
        </r>
      </text>
    </comment>
    <comment ref="D1508" authorId="1" shapeId="0" xr:uid="{B845078B-6154-4C3E-8D53-EBE9AD16DC00}">
      <text>
        <r>
          <rPr>
            <sz val="11"/>
            <color theme="1"/>
            <rFont val="Calibri"/>
            <family val="2"/>
            <scheme val="minor"/>
          </rPr>
          <t>Introduzca un número con dos decimales como máximo. Debe ser igual o mayor a la "Cantidad Real Consumida"</t>
        </r>
      </text>
    </comment>
    <comment ref="E1508" authorId="1" shapeId="0" xr:uid="{56CB63CD-7EBE-4B61-89C7-7A2FC7BB40EA}">
      <text>
        <r>
          <rPr>
            <sz val="11"/>
            <color theme="1"/>
            <rFont val="Calibri"/>
            <family val="2"/>
            <scheme val="minor"/>
          </rPr>
          <t>Introduzca un número con dos decimales como máximo</t>
        </r>
      </text>
    </comment>
    <comment ref="F1508" authorId="1" shapeId="0" xr:uid="{91746F80-8CF8-4781-89F8-6D14A5C58D24}">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<sst xmlns="http://schemas.openxmlformats.org/spreadsheetml/2006/main" count="2945" uniqueCount="331">
  <si>
    <t xml:space="preserve">PLAN ANUAL DE COMPRAS Y CONTRATACIONES 
</t>
  </si>
  <si>
    <t>SNCC.F.069</t>
  </si>
  <si>
    <t xml:space="preserve">Capítulo </t>
  </si>
  <si>
    <t>5130</t>
  </si>
  <si>
    <t>Version: 1.0.0</t>
  </si>
  <si>
    <t>Sub Capítulo</t>
  </si>
  <si>
    <t>01</t>
  </si>
  <si>
    <t>Unidad Ejecutora</t>
  </si>
  <si>
    <t>0001</t>
  </si>
  <si>
    <t>Cantidad Procesos Registrados</t>
  </si>
  <si>
    <t xml:space="preserve">Unidad de Compra </t>
  </si>
  <si>
    <t>Parque Zoológico Nacional</t>
  </si>
  <si>
    <t>Monto Estimado Total</t>
  </si>
  <si>
    <t>Código de la Unidad de Compra</t>
  </si>
  <si>
    <t>000837</t>
  </si>
  <si>
    <t xml:space="preserve">Año Fiscal </t>
  </si>
  <si>
    <t>2025</t>
  </si>
  <si>
    <t>Fecha Aprobación</t>
  </si>
  <si>
    <t/>
  </si>
  <si>
    <t>NOMBRE O REFERENCIA DE CONTRATACIÓN</t>
  </si>
  <si>
    <t>FINALIDAD DE LA CONTRATACIÓN</t>
  </si>
  <si>
    <t>OBJETO DE CONTRATACIÓN</t>
  </si>
  <si>
    <t>PROCEDIMIENTO DE SELECCIÓN</t>
  </si>
  <si>
    <t>DESTINADO A MIPYMES</t>
  </si>
  <si>
    <t>CÓDIGO SNIP</t>
  </si>
  <si>
    <t>FRUTAS Y VEGETALES 1ER TRIMESTRE</t>
  </si>
  <si>
    <t>FRUTAS Y VEGETALES 1ER TRIMESTRE 2025</t>
  </si>
  <si>
    <t>Bienes</t>
  </si>
  <si>
    <t>Compras Menores</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</si>
  <si>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</si>
  <si>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</si>
  <si>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</si>
  <si>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</si>
  <si>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</si>
  <si>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</si>
  <si>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</si>
  <si>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</si>
  <si>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</si>
  <si>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</si>
  <si>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</si>
  <si>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</si>
  <si>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</si>
  <si>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</si>
  <si>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</si>
  <si>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</si>
  <si>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</si>
  <si>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</si>
  <si>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50101538</t>
  </si>
  <si>
    <t>50101634</t>
  </si>
  <si>
    <t>50101540</t>
  </si>
  <si>
    <t>50131606</t>
  </si>
  <si>
    <t>50171548</t>
  </si>
  <si>
    <t>TOTAL COMPRA ESTIMADA</t>
  </si>
  <si>
    <t>CARNES Y EMBUTIDOS PARA ALMUERZO EMPLEADOS 1ER TRIMESTRE</t>
  </si>
  <si>
    <t>MIPYME Mujeres</t>
  </si>
  <si>
    <t>50111510</t>
  </si>
  <si>
    <t>50112002</t>
  </si>
  <si>
    <t xml:space="preserve">INSUMOS ALMUERZO EMPLEADOS 1ER TRIMESTRE </t>
  </si>
  <si>
    <t>INSUMOS ALMUERZO EMPLEADOS 1ER TRIMESTRE</t>
  </si>
  <si>
    <t>No</t>
  </si>
  <si>
    <t>50151513</t>
  </si>
  <si>
    <t>50171552</t>
  </si>
  <si>
    <t>50161509</t>
  </si>
  <si>
    <t>50192902</t>
  </si>
  <si>
    <t>50221001</t>
  </si>
  <si>
    <t>50171832</t>
  </si>
  <si>
    <t>50171831</t>
  </si>
  <si>
    <t>50131802</t>
  </si>
  <si>
    <t>50171551</t>
  </si>
  <si>
    <t>50171707</t>
  </si>
  <si>
    <t>50131702</t>
  </si>
  <si>
    <t>50171550</t>
  </si>
  <si>
    <t>50193002</t>
  </si>
  <si>
    <t>50192112</t>
  </si>
  <si>
    <t>50181903</t>
  </si>
  <si>
    <t>50192404</t>
  </si>
  <si>
    <t>50221101</t>
  </si>
  <si>
    <t>50192110</t>
  </si>
  <si>
    <t>50202304</t>
  </si>
  <si>
    <t>MATERIALES DE OFICINA 1ER TRIMESTRE</t>
  </si>
  <si>
    <t>Compras por debajo del Umbral</t>
  </si>
  <si>
    <t>14111506</t>
  </si>
  <si>
    <t>31201610</t>
  </si>
  <si>
    <t>44122104</t>
  </si>
  <si>
    <t>44121701</t>
  </si>
  <si>
    <t>44122022</t>
  </si>
  <si>
    <t>14111514</t>
  </si>
  <si>
    <t>44121618</t>
  </si>
  <si>
    <t>14111515</t>
  </si>
  <si>
    <t>14111801</t>
  </si>
  <si>
    <t>49101609</t>
  </si>
  <si>
    <t>MATERIALES DE LIMPIEZA 1ER TRIMESTRE</t>
  </si>
  <si>
    <t>14111703</t>
  </si>
  <si>
    <t>14111704</t>
  </si>
  <si>
    <t>46181504</t>
  </si>
  <si>
    <t>47131603</t>
  </si>
  <si>
    <t>47121701</t>
  </si>
  <si>
    <t>53131608</t>
  </si>
  <si>
    <t>47131803</t>
  </si>
  <si>
    <t>47131807</t>
  </si>
  <si>
    <t>47131502</t>
  </si>
  <si>
    <t>47131604</t>
  </si>
  <si>
    <t>47131611</t>
  </si>
  <si>
    <t>27112003</t>
  </si>
  <si>
    <t>40142008</t>
  </si>
  <si>
    <t>47131812</t>
  </si>
  <si>
    <t>10171701</t>
  </si>
  <si>
    <t>10191506</t>
  </si>
  <si>
    <t>10191701</t>
  </si>
  <si>
    <t>ALIMENTOS ANIMALES 1ER TRIMESTRE</t>
  </si>
  <si>
    <t>MATERIA PRIMA Y PREMEZCLA PARA ALIMENTOS DE ANIMALES 1ER TRIMESTRE 2025</t>
  </si>
  <si>
    <t>10121503</t>
  </si>
  <si>
    <t>10121501</t>
  </si>
  <si>
    <t>10121702</t>
  </si>
  <si>
    <t>10121801</t>
  </si>
  <si>
    <t>10121504</t>
  </si>
  <si>
    <t>10171503</t>
  </si>
  <si>
    <t>10122102</t>
  </si>
  <si>
    <t>10121804</t>
  </si>
  <si>
    <t>10121604</t>
  </si>
  <si>
    <t>PACAS PARA ANIMALES 1er TRIMESTRE</t>
  </si>
  <si>
    <t>PACAS PARA ALIMENTAR ANIMALES 1er TRIMESTRE 2025</t>
  </si>
  <si>
    <t>10121505</t>
  </si>
  <si>
    <t xml:space="preserve">MEDICAMENTOS Y MAT GASTABLE ANIMALES, 1ER TRIMESTRE </t>
  </si>
  <si>
    <t>42132205</t>
  </si>
  <si>
    <t>10111305</t>
  </si>
  <si>
    <t>42121606</t>
  </si>
  <si>
    <t>12141916</t>
  </si>
  <si>
    <t>12352104</t>
  </si>
  <si>
    <t>12352501</t>
  </si>
  <si>
    <t>51142106</t>
  </si>
  <si>
    <t>51142001</t>
  </si>
  <si>
    <t>51161606</t>
  </si>
  <si>
    <t>51102208</t>
  </si>
  <si>
    <t>51191604</t>
  </si>
  <si>
    <t>42311708</t>
  </si>
  <si>
    <t>51161803</t>
  </si>
  <si>
    <t>51241225</t>
  </si>
  <si>
    <t>51142121</t>
  </si>
  <si>
    <t>41104102</t>
  </si>
  <si>
    <t>41116201</t>
  </si>
  <si>
    <t>RENOVACIÓN DE LICENCIAS OFFICE 365</t>
  </si>
  <si>
    <t>RENOVACIÓN DE LICENCIAS OFFICCE 365 AÑO 2025</t>
  </si>
  <si>
    <t>Servicios</t>
  </si>
  <si>
    <t>81112501</t>
  </si>
  <si>
    <t xml:space="preserve">ARTICULOS DE TECNOLOGIA 1ER TRIMESTRE </t>
  </si>
  <si>
    <t xml:space="preserve">ADQUISICIÓN ARTICULOS DE TECNOLOGIA 1ER TRIMESTRE </t>
  </si>
  <si>
    <t>44102904</t>
  </si>
  <si>
    <t>43211902</t>
  </si>
  <si>
    <t>44103103</t>
  </si>
  <si>
    <t>43211706</t>
  </si>
  <si>
    <t>32101622</t>
  </si>
  <si>
    <t>43211708</t>
  </si>
  <si>
    <t>44103105</t>
  </si>
  <si>
    <t>43212110</t>
  </si>
  <si>
    <t>43201803</t>
  </si>
  <si>
    <t>26101766</t>
  </si>
  <si>
    <t>GLP COCINA GENERAL AÑO 2025</t>
  </si>
  <si>
    <t>15111510</t>
  </si>
  <si>
    <t>ADQUISICIÓN DE CORONAS PARA OFRENDAS FLORALES Y ARREGLOS DE FLORES PARA USO DEL ZOODOM</t>
  </si>
  <si>
    <t>10161707</t>
  </si>
  <si>
    <t>LEGALIZACIONES NOTARIALES AÑO 2025</t>
  </si>
  <si>
    <t>80121704</t>
  </si>
  <si>
    <t>SERVICIOS VETERINARIOS NECROPSIA Y NUTRICIÓN ANIMAL AÑO 2025</t>
  </si>
  <si>
    <t>SERVICIOS VETERINARIOS EN NECROPSIA Y NUTRICIÓN ANIMAL AÑO 2025</t>
  </si>
  <si>
    <t>70122001</t>
  </si>
  <si>
    <t>PRUEBAS MICROBIOLOGICAS PARA ANIMALES DEL ZOODOM AÑO 2025</t>
  </si>
  <si>
    <t>PRUEBAS MICROBIOLOGICAS PARA ANIMALES DEL ZOODOM</t>
  </si>
  <si>
    <t>85121802</t>
  </si>
  <si>
    <t>EQUINOS DE DESECHO PARA ALIMENTACIÓN DE FELINOS DEL ZOODOM 1ER TRIMESTRE DEL AÑO 2025</t>
  </si>
  <si>
    <t>EQUINOS DE DESECHO PARA ALIMENTACIÓN DE FELINOS DEL ZOODOM 1ER TRIMESTRE 2025</t>
  </si>
  <si>
    <t>ADQUISICIÓN DE CANAS Y COBIJADO DE PARAGUITAS  DE EXHIBICIONES DE ANIMALES Y AREAS DEL ZOODOM</t>
  </si>
  <si>
    <t>10161513</t>
  </si>
  <si>
    <t>80111613</t>
  </si>
  <si>
    <t>ADQUISICIÓN E INSTALACIÓN DE DIVISIONES Y PUERTAS PARA BAÑOS DEL ZOODOM</t>
  </si>
  <si>
    <t>72102602</t>
  </si>
  <si>
    <t>INSTALACION DE CRISTALES Y PUERTA PARA COOPERATIVA ZOODOM</t>
  </si>
  <si>
    <t>30171706</t>
  </si>
  <si>
    <t xml:space="preserve">ADQUISICION DE ANDAMIO PARA TRABAJOS DEL ZOODOM </t>
  </si>
  <si>
    <t>30191502</t>
  </si>
  <si>
    <t>INSTALACION DE EQUIPO DE RADIOFRECUENCIA PARA EL DEPTO DE SEGURIDAD DEL ZOODOM</t>
  </si>
  <si>
    <t>43222817</t>
  </si>
  <si>
    <t>43221715</t>
  </si>
  <si>
    <t>39121414</t>
  </si>
  <si>
    <t>26111707</t>
  </si>
  <si>
    <t>26111704</t>
  </si>
  <si>
    <t>26121630</t>
  </si>
  <si>
    <t>26121633</t>
  </si>
  <si>
    <t>72102205</t>
  </si>
  <si>
    <t>SERVICIO DE PERFORACIÓN E INSTALACIÓN DE POZO FILTRANTE AREA CUARENTENA DEL ZOODOM</t>
  </si>
  <si>
    <t>73181008</t>
  </si>
  <si>
    <t>ADQUISICIÓN DE SONOGRAFO VETERINARIO MOVIL</t>
  </si>
  <si>
    <t>42201712</t>
  </si>
  <si>
    <t>LIMPIEZA Y DESINFECCION DE CISTERNAS DEL ZOODOM</t>
  </si>
  <si>
    <t>76101503</t>
  </si>
  <si>
    <t>14121701</t>
  </si>
  <si>
    <t>SERVICIO DE MANTENIMIENTO DE EXTINTORES  AREAS DEL ZOODOM</t>
  </si>
  <si>
    <t>SERVICIO DE MANTENIMIENTO DE EXTINTORES AREAS DEL ZOODOM</t>
  </si>
  <si>
    <t>72101509</t>
  </si>
  <si>
    <t>ADQUISICION DE AGUA POTABLE PARA CONSUMO DE EMPLEADOS</t>
  </si>
  <si>
    <t>50202301</t>
  </si>
  <si>
    <t>ADQUISICIÓN DE REPUESTOS PARA VEHICULOS 1ER TRIMESTRE 2025</t>
  </si>
  <si>
    <t>26111703</t>
  </si>
  <si>
    <t>15121501</t>
  </si>
  <si>
    <t>15121504</t>
  </si>
  <si>
    <t>15121509</t>
  </si>
  <si>
    <t>25174004</t>
  </si>
  <si>
    <t>40161504</t>
  </si>
  <si>
    <t>40161505</t>
  </si>
  <si>
    <t>40161513</t>
  </si>
  <si>
    <t>25172504</t>
  </si>
  <si>
    <t xml:space="preserve">MATERIALES DE CONSTRUCCIÓN 1ER TRIMESTRE </t>
  </si>
  <si>
    <t>MATERIALES DE CONSTRUCCIÓN 1ER TRIMESTRE</t>
  </si>
  <si>
    <t>11111701</t>
  </si>
  <si>
    <t>30111601</t>
  </si>
  <si>
    <t>30131502</t>
  </si>
  <si>
    <t>11111611</t>
  </si>
  <si>
    <t>30102403</t>
  </si>
  <si>
    <t>MATERIALES DE HERRERIA 1ER TRIMESTRE</t>
  </si>
  <si>
    <t>30102303</t>
  </si>
  <si>
    <t>30102001</t>
  </si>
  <si>
    <t>31161506</t>
  </si>
  <si>
    <t>23171515</t>
  </si>
  <si>
    <t>31191506</t>
  </si>
  <si>
    <t>31162403</t>
  </si>
  <si>
    <t>ARTICULOS DE PLOMERIA 1ER TRIMESTRE</t>
  </si>
  <si>
    <t>40142115</t>
  </si>
  <si>
    <t>40142317</t>
  </si>
  <si>
    <t>40142315</t>
  </si>
  <si>
    <t>47131705</t>
  </si>
  <si>
    <t>40142320</t>
  </si>
  <si>
    <t>40142605</t>
  </si>
  <si>
    <t>40141702</t>
  </si>
  <si>
    <t>40141605</t>
  </si>
  <si>
    <t>40142609</t>
  </si>
  <si>
    <t>COMPONENTES ELECTRICOS Y REFRIGERACION 1ER TRIMESTRE</t>
  </si>
  <si>
    <t>39101601</t>
  </si>
  <si>
    <t>39121529</t>
  </si>
  <si>
    <t>39121601</t>
  </si>
  <si>
    <t>39121535</t>
  </si>
  <si>
    <t>60104912</t>
  </si>
  <si>
    <t>39121308</t>
  </si>
  <si>
    <t>39121549</t>
  </si>
  <si>
    <t>32121501</t>
  </si>
  <si>
    <t>31201502</t>
  </si>
  <si>
    <t>ARTICULOS FERRETEROS, EBANISTERIA Y PINTURA 1ER TRIMESTRE</t>
  </si>
  <si>
    <t>46171501</t>
  </si>
  <si>
    <t>11101502</t>
  </si>
  <si>
    <t>12181601</t>
  </si>
  <si>
    <t>31211803</t>
  </si>
  <si>
    <t>31211508</t>
  </si>
  <si>
    <t>60121213</t>
  </si>
  <si>
    <t>31211501</t>
  </si>
  <si>
    <t>27112001</t>
  </si>
  <si>
    <t>27111701</t>
  </si>
  <si>
    <t>11162116</t>
  </si>
  <si>
    <t>26121536</t>
  </si>
  <si>
    <t>27111902</t>
  </si>
  <si>
    <t>31211904</t>
  </si>
  <si>
    <t>31211906</t>
  </si>
  <si>
    <t>31201503</t>
  </si>
  <si>
    <t>27112004</t>
  </si>
  <si>
    <t>27112007</t>
  </si>
  <si>
    <t>31162004</t>
  </si>
  <si>
    <t>31161503</t>
  </si>
  <si>
    <t>31162402</t>
  </si>
  <si>
    <t>31211705</t>
  </si>
  <si>
    <t>27111509</t>
  </si>
  <si>
    <t>11121604</t>
  </si>
  <si>
    <t>ADQUISICION DE COMBUSTIBLES AÑO 2025</t>
  </si>
  <si>
    <t>15101505</t>
  </si>
  <si>
    <t>15101506</t>
  </si>
  <si>
    <t>CARNES Y EMBUTIDOS PARA ALMUERZO EMPLEADOS 2DO TRIMESTRE</t>
  </si>
  <si>
    <t xml:space="preserve">INSUMOS ALMUERZO EMPLEADOS 2DO TRIMESTRE </t>
  </si>
  <si>
    <t>MATERIALES DE OFICINA 2DO TRIMESTRE</t>
  </si>
  <si>
    <t>44121706</t>
  </si>
  <si>
    <t>44121615</t>
  </si>
  <si>
    <t>MATERIALES DE LIMPIEZA 2DO TRIMESTRE</t>
  </si>
  <si>
    <t>ALIMENTOS ANIMALES 2DO TRIMESTRE</t>
  </si>
  <si>
    <t>MEDICAMENTOS Y MAT GASTABLE ANIMALES, 2DO TRIMESTRE</t>
  </si>
  <si>
    <t>ARTICULOS DE TECNOLOGIA 2DO TRIMESTRE</t>
  </si>
  <si>
    <t>43201503</t>
  </si>
  <si>
    <t>ADQUISICIÓN DE REPUESTOS PARA VEHICULOS 2DO TRIMESTRE</t>
  </si>
  <si>
    <t xml:space="preserve">MATERIALES DE CONSTRUCCIÓN 2DO TRIMESTRE </t>
  </si>
  <si>
    <t xml:space="preserve">ATERIALES DE CONSTRUCCIÓN 2DO TRIMESTRE </t>
  </si>
  <si>
    <t>MATERIALES DE HERRERIA 2DO TRIMESTRE</t>
  </si>
  <si>
    <t>ARTICULOS FERRETEROS, EBANISTERIA, PINTURA  Y PLOMERIA 2DO TRIMESTRE</t>
  </si>
  <si>
    <t>SERVICIO DE HORMIGON PARA FINO DE TECHO CLINICA VETERINARIA</t>
  </si>
  <si>
    <t>72101701</t>
  </si>
  <si>
    <t>SERVICIO DE FABRICACIÓN DE VAGONES PARA TRENES DEL ZOODOM</t>
  </si>
  <si>
    <t>78180108</t>
  </si>
  <si>
    <t>PASTILLAS DE DIOXIDO DE CLORO PARA DESINFECCION DE CISTERNAS DEL ZOODOM</t>
  </si>
  <si>
    <t xml:space="preserve">PASTILLAS DE DIOXIDO DE CLORO PARA DESINFECCION DE CISTERNAS DEL ZOODOM </t>
  </si>
  <si>
    <t>12141901</t>
  </si>
  <si>
    <t>CAMARAS DE VIDEO VIGILANCIA PARA AREAS DEL ZOODOM</t>
  </si>
  <si>
    <t>46171610</t>
  </si>
  <si>
    <t>43232801</t>
  </si>
  <si>
    <t>PULSERAS PARA CONTROL DE ENTRADAS AL ZOODOM</t>
  </si>
  <si>
    <t>31201515</t>
  </si>
  <si>
    <t>SERVICIO DE REPARACION DE MOTOCICLETAS Y FOUR WHEELS DEL ZOODOM</t>
  </si>
  <si>
    <t>78180110</t>
  </si>
  <si>
    <t>25173817</t>
  </si>
  <si>
    <t>FRUTAS Y VEGETALES 3ER TRIMESTRE</t>
  </si>
  <si>
    <t>CARNES Y EMBUTIDOS PARA ALMUERZO EMPLEADOS 3ER TRIMESTRE</t>
  </si>
  <si>
    <t>INSUMOS ALMUERZO EMPLEADOS 3ER TRIMESTRE</t>
  </si>
  <si>
    <t>50201706</t>
  </si>
  <si>
    <t>50121538</t>
  </si>
  <si>
    <t>MATERIALES DE LIMPIEZA 3ER TRIMESTRE</t>
  </si>
  <si>
    <t>ALIMENTOS ANIMALES 3ER TRIMESTRE</t>
  </si>
  <si>
    <t>10121901</t>
  </si>
  <si>
    <t>10122103</t>
  </si>
  <si>
    <t>10121603</t>
  </si>
  <si>
    <t>10121506</t>
  </si>
  <si>
    <t>10121502</t>
  </si>
  <si>
    <t>10121602</t>
  </si>
  <si>
    <t>PACAS PARA ANIMALES 3ER TRIMESTRE</t>
  </si>
  <si>
    <t>MEDICAMENTOS Y MAT GASTABLE ANIMALES, 3ER TRIMESTRE</t>
  </si>
  <si>
    <t>51142103</t>
  </si>
  <si>
    <t>ARTICULOS DE TECNOLOGIA 3ER TRIMESTRE</t>
  </si>
  <si>
    <t>ADQUISICIÓN DE REPUESTOS PARA VEHICULOS 3ER TRIMESTRE 2025</t>
  </si>
  <si>
    <t>MATERIALES DE CONSTRUCCIÓN 3ER TRIMESTRE</t>
  </si>
  <si>
    <t>ARTICULOS FERRETEROS, EBANISTERIA, PINTURA Y PLOMERIA 3ER TRIMESTRE</t>
  </si>
  <si>
    <t>27112823</t>
  </si>
  <si>
    <t>CARNES Y EMBUTIDOS PARA ALMUERZO EMPLEADOS 4TO TRIMESTRE</t>
  </si>
  <si>
    <t>INSUMOS ALMUERZO EMPLEADOS 4TO TRIMESTRE</t>
  </si>
  <si>
    <t>MATERIALES DE LIMPIEZA 4TO TRIMESTRE</t>
  </si>
  <si>
    <t>ALIMENTOS ANIMALES 4TO TRIMESTRE</t>
  </si>
  <si>
    <t>MEDICAMENTOS Y MAT. GASTABLE ANIMALES, 4TO TRIMESTRE</t>
  </si>
  <si>
    <t>42311505</t>
  </si>
  <si>
    <t>42121604</t>
  </si>
  <si>
    <t>MATERIALES DE CONSTRUCCIÓN 4TO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</si>
</sst>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3" x14ac:knownFonts="1">
    <font>
      <sz val="11"/>
      <color theme="1"/>
      <name val="Calibri"/>
      <family val="2"/>
      <scheme val="minor"/>
    </font>
    <font>
      <sz val="11"/>
      <color theme="1"/>
      <name val="Calibri"/>
      <family val="2"/>
      <scheme val="minor"/>
    </font>
    <font>
      <sz val="14"/>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sz val="9"/>
      <color theme="1"/>
      <name val="Calibri"/>
      <family val="2"/>
    </font>
    <font>
      <b/>
      <sz val="9"/>
      <color theme="1"/>
      <name val="Calibri"/>
      <family val="2"/>
    </font>
    <font>
      <b/>
      <sz val="8"/>
      <color theme="1"/>
      <name val="Calibri"/>
      <family val="2"/>
      <scheme val="minor"/>
    </font>
    <font>
      <sz val="8"/>
      <color theme="1"/>
      <name val="Calibri"/>
      <family val="2"/>
      <scheme val="minor"/>
    </font>
    <font>
      <b/>
      <sz val="9"/>
      <name val="Tahoma"/>
      <family val="2"/>
    </font>
    <font>
      <u/>
      <sz val="14"/>
      <color theme="1"/>
      <name val="Calibri"/>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9" fillId="6" borderId="6">
      <alignment horizontal="center" vertical="center" wrapText="1"/>
    </xf>
    <xf numFmtId="0" fontId="9" fillId="0" borderId="6">
      <alignment horizontal="center" vertical="center"/>
    </xf>
    <xf numFmtId="0" fontId="9" fillId="6" borderId="6">
      <alignment horizontal="center" vertical="center" textRotation="90" wrapText="1"/>
    </xf>
    <xf numFmtId="0" fontId="9" fillId="7" borderId="6">
      <alignment horizontal="center" vertical="center"/>
    </xf>
    <xf numFmtId="166" fontId="9" fillId="0" borderId="6">
      <alignment horizontal="center" vertical="center"/>
    </xf>
    <xf numFmtId="0" fontId="9" fillId="7" borderId="6">
      <alignment horizontal="center" vertical="center"/>
    </xf>
    <xf numFmtId="0" fontId="9" fillId="0" borderId="6">
      <alignment horizontal="left" vertical="center"/>
    </xf>
    <xf numFmtId="0" fontId="9" fillId="0" borderId="6">
      <alignment horizontal="center" vertical="center"/>
    </xf>
    <xf numFmtId="0" fontId="9" fillId="8" borderId="6">
      <alignment horizontal="center" vertical="center"/>
    </xf>
    <xf numFmtId="0" fontId="10" fillId="9" borderId="8">
      <alignment horizontal="center" vertical="center"/>
    </xf>
    <xf numFmtId="0" fontId="10" fillId="9" borderId="8">
      <alignment horizontal="center" vertical="center" wrapText="1"/>
    </xf>
    <xf numFmtId="0" fontId="10" fillId="9" borderId="8">
      <alignment horizontal="left" vertical="center"/>
    </xf>
    <xf numFmtId="167" fontId="10" fillId="9" borderId="8">
      <alignment horizontal="center" vertical="center"/>
    </xf>
  </cellStyleXfs>
  <cellXfs count="47">
    <xf numFmtId="0" fontId="0" fillId="0" borderId="0" xfId="0"/>
    <xf numFmtId="0" fontId="3" fillId="3" borderId="0" xfId="0" applyFont="1" applyFill="1" applyAlignment="1">
      <alignment horizontal="center" vertical="top" wrapText="1"/>
    </xf>
    <xf numFmtId="0" fontId="4" fillId="2" borderId="0" xfId="0" applyFont="1" applyFill="1" applyAlignment="1">
      <alignment vertical="top" wrapText="1"/>
    </xf>
    <xf numFmtId="0" fontId="3" fillId="3" borderId="0" xfId="0" applyFont="1" applyFill="1" applyAlignment="1">
      <alignment horizontal="center" vertical="center" wrapText="1"/>
    </xf>
    <xf numFmtId="0" fontId="4" fillId="2" borderId="0" xfId="0" applyFont="1" applyFill="1" applyAlignment="1">
      <alignment vertical="center" wrapText="1"/>
    </xf>
    <xf numFmtId="38" fontId="8" fillId="4" borderId="4" xfId="0" applyNumberFormat="1" applyFont="1" applyFill="1" applyBorder="1" applyAlignment="1">
      <alignmen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1" fontId="8" fillId="0" borderId="4" xfId="0" applyNumberFormat="1" applyFont="1" applyBorder="1" applyAlignment="1" applyProtection="1">
      <alignment horizontal="center" vertical="center" wrapText="1"/>
      <protection locked="0"/>
    </xf>
    <xf numFmtId="1" fontId="8" fillId="0" borderId="5" xfId="0" applyNumberFormat="1" applyFont="1" applyBorder="1" applyAlignment="1" applyProtection="1">
      <alignment horizontal="center" vertical="center" wrapText="1"/>
      <protection locked="0"/>
    </xf>
    <xf numFmtId="165" fontId="8" fillId="0" borderId="4" xfId="0" applyNumberFormat="1" applyFont="1" applyBorder="1" applyAlignment="1" applyProtection="1">
      <alignment horizontal="center" vertical="center" wrapText="1"/>
      <protection locked="0"/>
    </xf>
    <xf numFmtId="165" fontId="8" fillId="0" borderId="5" xfId="0" applyNumberFormat="1" applyFont="1" applyBorder="1" applyAlignment="1" applyProtection="1">
      <alignment horizontal="center" vertical="center" wrapText="1"/>
      <protection locked="0"/>
    </xf>
    <xf numFmtId="0" fontId="9" fillId="0" borderId="6" xfId="2" applyAlignment="1" applyProtection="1">
      <alignment horizontal="center" vertical="center" wrapText="1"/>
      <protection locked="0"/>
    </xf>
    <xf numFmtId="0" fontId="2" fillId="0" borderId="0" xfId="0" applyFont="1" applyAlignment="1" applyProtection="1">
      <alignment horizontal="center" vertical="center" wrapText="1"/>
      <protection hidden="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pplyProtection="1">
      <alignment vertical="center" wrapText="1"/>
      <protection hidden="1"/>
    </xf>
    <xf numFmtId="0" fontId="12" fillId="2" borderId="0" xfId="0" applyFont="1" applyFill="1" applyAlignment="1">
      <alignment horizontal="center" vertical="center" wrapText="1"/>
    </xf>
    <xf numFmtId="0" fontId="2" fillId="2" borderId="0" xfId="0" applyFont="1" applyFill="1" applyAlignment="1">
      <alignment vertical="center" wrapText="1"/>
    </xf>
    <xf numFmtId="0" fontId="5" fillId="2" borderId="2"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0" applyFont="1" applyFill="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6" fillId="2" borderId="0" xfId="0" applyFont="1" applyFill="1" applyAlignment="1">
      <alignment vertical="center" wrapText="1"/>
    </xf>
    <xf numFmtId="0" fontId="8" fillId="5" borderId="4" xfId="0" applyFont="1" applyFill="1" applyBorder="1" applyAlignment="1">
      <alignment horizontal="left" vertical="center" wrapText="1"/>
    </xf>
    <xf numFmtId="0" fontId="8" fillId="0" borderId="6" xfId="0" applyFont="1" applyBorder="1" applyAlignment="1">
      <alignment vertical="center" wrapText="1"/>
    </xf>
    <xf numFmtId="0" fontId="8" fillId="5" borderId="7" xfId="0" applyFont="1" applyFill="1" applyBorder="1" applyAlignment="1">
      <alignment horizontal="left" vertical="center" wrapText="1"/>
    </xf>
    <xf numFmtId="164" fontId="8" fillId="0" borderId="6" xfId="0" applyNumberFormat="1" applyFont="1" applyBorder="1" applyAlignment="1">
      <alignment vertical="center" wrapText="1"/>
    </xf>
    <xf numFmtId="0" fontId="7" fillId="2" borderId="2" xfId="0" applyFont="1" applyFill="1" applyBorder="1" applyAlignment="1" applyProtection="1">
      <alignment vertical="center" wrapText="1"/>
      <protection hidden="1"/>
    </xf>
    <xf numFmtId="0" fontId="0" fillId="0" borderId="0" xfId="0" applyAlignment="1">
      <alignment vertical="center" wrapText="1"/>
    </xf>
    <xf numFmtId="0" fontId="9" fillId="6" borderId="6" xfId="1" applyAlignment="1">
      <alignment horizontal="center" vertical="center" wrapText="1"/>
    </xf>
    <xf numFmtId="0" fontId="9" fillId="6" borderId="6" xfId="3" applyAlignment="1">
      <alignment horizontal="center" vertical="center" textRotation="90" wrapText="1"/>
    </xf>
    <xf numFmtId="0" fontId="9" fillId="7" borderId="6" xfId="4" applyAlignment="1">
      <alignment horizontal="center" vertical="center" wrapText="1"/>
    </xf>
    <xf numFmtId="166" fontId="9" fillId="0" borderId="6" xfId="5" applyAlignment="1" applyProtection="1">
      <alignment horizontal="center" vertical="center" wrapText="1"/>
      <protection locked="0"/>
    </xf>
    <xf numFmtId="0" fontId="9" fillId="7" borderId="6" xfId="6" applyAlignment="1">
      <alignment horizontal="center" vertical="center" wrapText="1"/>
    </xf>
    <xf numFmtId="0" fontId="9" fillId="0" borderId="6" xfId="7" applyAlignment="1" applyProtection="1">
      <alignment horizontal="left" vertical="center" wrapText="1"/>
      <protection locked="0"/>
    </xf>
    <xf numFmtId="0" fontId="9" fillId="0" borderId="6" xfId="2" applyAlignment="1">
      <alignment horizontal="center" vertical="center" wrapText="1"/>
    </xf>
    <xf numFmtId="0" fontId="9" fillId="0" borderId="6" xfId="8" applyAlignment="1">
      <alignment horizontal="center" vertical="center" wrapText="1"/>
    </xf>
    <xf numFmtId="0" fontId="9" fillId="8" borderId="6" xfId="9" applyAlignment="1">
      <alignment horizontal="center" vertical="center" wrapText="1"/>
    </xf>
    <xf numFmtId="0" fontId="10" fillId="9" borderId="8" xfId="10" applyAlignment="1" applyProtection="1">
      <alignment horizontal="center" vertical="center" wrapText="1"/>
      <protection locked="0"/>
    </xf>
    <xf numFmtId="0" fontId="10" fillId="9" borderId="8" xfId="11" applyAlignment="1">
      <alignment horizontal="center" vertical="center" wrapText="1"/>
    </xf>
    <xf numFmtId="0" fontId="10" fillId="9" borderId="8" xfId="12" applyAlignment="1" applyProtection="1">
      <alignment horizontal="left" vertical="center" wrapText="1"/>
      <protection locked="0"/>
    </xf>
    <xf numFmtId="167" fontId="10" fillId="9" borderId="8" xfId="13" applyAlignment="1" applyProtection="1">
      <alignment horizontal="center" vertical="center" wrapText="1"/>
      <protection locked="0"/>
    </xf>
    <xf numFmtId="167" fontId="10" fillId="9" borderId="8" xfId="13" applyAlignment="1">
      <alignment horizontal="center" vertical="center" wrapText="1"/>
    </xf>
    <xf numFmtId="0" fontId="9" fillId="8" borderId="8" xfId="9" applyBorder="1" applyAlignment="1">
      <alignment horizontal="center" vertical="center" wrapText="1"/>
    </xf>
    <xf numFmtId="167" fontId="10" fillId="8" borderId="8" xfId="13" applyFill="1" applyAlignment="1">
      <alignment horizontal="center" vertical="center" wrapText="1"/>
    </xf>
  </cellXfs>
  <cellStyles count="14">
    <cellStyle name="ArticleBody" xfId="10" xr:uid="{2C262698-8425-4806-AEA3-F317014AA922}"/>
    <cellStyle name="ArticleBody_currency" xfId="13" xr:uid="{71FB5E35-730D-41EC-90B2-87FE39D09F48}"/>
    <cellStyle name="ArticleBody_text" xfId="12" xr:uid="{31EEBB55-F4A5-45DC-BFA9-CCD908C82FCF}"/>
    <cellStyle name="ArticleBody_UNSCPCDescription" xfId="11" xr:uid="{32756FB4-B3DF-4030-B857-D786F965F692}"/>
    <cellStyle name="ArticleHeader" xfId="9" xr:uid="{6A5E8B8E-7666-4995-A3C4-9E38CA7B522A}"/>
    <cellStyle name="Normal" xfId="0" builtinId="0"/>
    <cellStyle name="ProcessBody" xfId="2" xr:uid="{D33B0AA6-72DD-43C5-A204-930661C653EA}"/>
    <cellStyle name="ProcessBody_address" xfId="7" xr:uid="{6C380669-2419-46DF-8FFE-DEC647BE9F93}"/>
    <cellStyle name="ProcessBody_datetime" xfId="5" xr:uid="{9B3FF4EE-47B9-4AD6-AC93-1F146FA59025}"/>
    <cellStyle name="ProcessBody_number" xfId="8" xr:uid="{4BBFC3C2-9424-4E41-81B9-D33E3BD29A60}"/>
    <cellStyle name="ProcessHeader" xfId="1" xr:uid="{8D249D12-2DBE-4F5B-AF39-7878FAF8962C}"/>
    <cellStyle name="ProcessHeader_vertical" xfId="3" xr:uid="{66D86ADD-E5A2-490C-ACE9-ABCAB1E5A320}"/>
    <cellStyle name="ProcessSubHeader" xfId="4" xr:uid="{C3C8CF12-2AC4-4DEE-A01A-E5329488BFD6}"/>
    <cellStyle name="ProcessSubHeader_lugar" xfId="6" xr:uid="{064F7DEF-0902-4690-AD1F-A56B04894F24}"/>
  </cellStyles>
  <dxfs count="536">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xdr:rowOff>
    </xdr:from>
    <xdr:to>
      <xdr:col>0</xdr:col>
      <xdr:colOff>1303020</xdr:colOff>
      <xdr:row>4</xdr:row>
      <xdr:rowOff>262032</xdr:rowOff>
    </xdr:to>
    <xdr:pic>
      <xdr:nvPicPr>
        <xdr:cNvPr id="2" name="Picture 2">
          <a:extLst>
            <a:ext uri="{FF2B5EF4-FFF2-40B4-BE49-F238E27FC236}">
              <a16:creationId xmlns:a16="http://schemas.microsoft.com/office/drawing/2014/main" id="{99526242-73EB-420A-AD5C-28F40C4242E2}"/>
            </a:ext>
          </a:extLst>
        </xdr:cNvPr>
        <xdr:cNvPicPr>
          <a:picLocks noChangeAspect="1"/>
        </xdr:cNvPicPr>
      </xdr:nvPicPr>
      <xdr:blipFill>
        <a:blip xmlns:r="http://schemas.openxmlformats.org/officeDocument/2006/relationships" r:embed="rId1"/>
        <a:stretch>
          <a:fillRect/>
        </a:stretch>
      </xdr:blipFill>
      <xdr:spPr>
        <a:xfrm>
          <a:off x="47625" y="7620"/>
          <a:ext cx="1255395" cy="1313592"/>
        </a:xfrm>
        <a:prstGeom prst="rect">
          <a:avLst/>
        </a:prstGeom>
        <a:noFill/>
        <a:ln>
          <a:noFill/>
        </a:ln>
      </xdr:spPr>
    </xdr:pic>
    <xdr:clientData/>
  </xdr:twoCellAnchor>
  <xdr:twoCellAnchor editAs="oneCell">
    <xdr:from>
      <xdr:col>4</xdr:col>
      <xdr:colOff>2798445</xdr:colOff>
      <xdr:row>0</xdr:row>
      <xdr:rowOff>144781</xdr:rowOff>
    </xdr:from>
    <xdr:to>
      <xdr:col>5</xdr:col>
      <xdr:colOff>1775460</xdr:colOff>
      <xdr:row>4</xdr:row>
      <xdr:rowOff>190501</xdr:rowOff>
    </xdr:to>
    <xdr:pic>
      <xdr:nvPicPr>
        <xdr:cNvPr id="3" name="Picture 5">
          <a:extLst>
            <a:ext uri="{FF2B5EF4-FFF2-40B4-BE49-F238E27FC236}">
              <a16:creationId xmlns:a16="http://schemas.microsoft.com/office/drawing/2014/main" id="{7A1FCF25-0D74-494C-9A8E-053E59C3EFE3}"/>
            </a:ext>
          </a:extLst>
        </xdr:cNvPr>
        <xdr:cNvPicPr>
          <a:picLocks noChangeAspect="1"/>
        </xdr:cNvPicPr>
      </xdr:nvPicPr>
      <xdr:blipFill>
        <a:blip xmlns:r="http://schemas.openxmlformats.org/officeDocument/2006/relationships" r:embed="rId2"/>
        <a:srcRect t="15399" b="14198"/>
        <a:stretch>
          <a:fillRect/>
        </a:stretch>
      </xdr:blipFill>
      <xdr:spPr>
        <a:xfrm>
          <a:off x="8406765" y="144781"/>
          <a:ext cx="1773555" cy="11049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ECNOLOGIA%20SISTICGE\Downloads\PACC_2025_ZOODOM.xlsx" TargetMode="External"/><Relationship Id="rId1" Type="http://schemas.openxmlformats.org/officeDocument/2006/relationships/externalLinkPath" Target="PACC_2025_ZOO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3BF1ED-DDFC-4A30-8FE6-48C74E81D1FC}" name="Table49" displayName="Table49" ref="A999:F1002" totalsRowShown="0" headerRowDxfId="529" dataDxfId="528">
  <tableColumns count="6">
    <tableColumn id="1" xr3:uid="{D56FEF99-5975-45E2-AAEB-897380DFB4B4}" name="CÓDIGO CATÁLOGO" dataDxfId="535"/>
    <tableColumn id="2" xr3:uid="{38534EE0-FC6A-40FD-B627-4731E5487C85}" name="ARTÍCULO" dataDxfId="534">
      <calculatedColumnFormula>IFERROR(INDEX(UNSPSCDes,MATCH(INDIRECT(ADDRESS(ROW(),COLUMN()-1,4)),UNSPSCCode,0)),IF(INDIRECT(ADDRESS(ROW(),COLUMN()-1,4))="78180108","Servicios de mantenimiento y reparación de camiones pesados",""))</calculatedColumnFormula>
    </tableColumn>
    <tableColumn id="3" xr3:uid="{2A6E35B0-E19D-4C82-B601-457716633719}" name="UNIDAD DE MEDIDA" dataDxfId="533">
      <calculatedColumnFormula>IFERROR(VLOOKUP("UD",'[1]Informacion '!P:Q,2,FALSE),"")</calculatedColumnFormula>
    </tableColumn>
    <tableColumn id="4" xr3:uid="{0C3A761C-7026-4DBC-B263-7C7C49D5393E}" name="CANTIDAD TOTAL ESTIMADA" dataDxfId="532"/>
    <tableColumn id="5" xr3:uid="{B662387C-9851-4601-951B-212B989CC2C6}" name="PRECIO UNITARIO ESTIMADO" dataDxfId="531"/>
    <tableColumn id="6" xr3:uid="{C534D3EA-452F-4081-9A99-088D8ED898DD}" name="MONTO TOTAL ESTIMADO" dataDxfId="530">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0EEFF3E-597F-467A-81BA-C64C4F29A984}" name="Table68" displayName="Table68" ref="A1441:F1471" totalsRowShown="0" headerRowDxfId="457" dataDxfId="456">
  <tableColumns count="6">
    <tableColumn id="1" xr3:uid="{D451C9CF-F31A-414F-A687-6CDB9065F36D}" name="CÓDIGO CATÁLOGO" dataDxfId="463"/>
    <tableColumn id="2" xr3:uid="{4114AFE0-A543-4D56-AC40-A4F1F6AB3379}" name="ARTÍCULO" dataDxfId="462"/>
    <tableColumn id="3" xr3:uid="{192B83A5-07A1-4C72-86B1-C073A36AA3AF}" name="UNIDAD DE MEDIDA" dataDxfId="461"/>
    <tableColumn id="4" xr3:uid="{E3D135A3-5A9D-4576-AE37-B268591E97C2}" name="CANTIDAD TOTAL ESTIMADA" dataDxfId="460"/>
    <tableColumn id="5" xr3:uid="{199953E1-F869-42D6-B85D-03D87F1E09B8}" name="PRECIO UNITARIO ESTIMADO" dataDxfId="459"/>
    <tableColumn id="6" xr3:uid="{C3501380-197E-4786-A8DA-F8BB038B4B15}" name="MONTO TOTAL ESTIMADO" dataDxfId="458">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EA3709A-BF91-48D4-B491-34DB07332397}" name="Table70" displayName="Table70" ref="A1508:F1513" totalsRowShown="0" headerRowDxfId="449" dataDxfId="448">
  <tableColumns count="6">
    <tableColumn id="1" xr3:uid="{4470F795-4C07-4FB8-A05C-5430D9FCA4C5}" name="CÓDIGO CATÁLOGO" dataDxfId="455"/>
    <tableColumn id="2" xr3:uid="{4F3952D8-6050-4F06-8D3A-BAA78C18DF6C}" name="ARTÍCULO" dataDxfId="454"/>
    <tableColumn id="3" xr3:uid="{EE32E86B-DBF5-44E3-ABAD-79281A7C93AE}" name="UNIDAD DE MEDIDA" dataDxfId="453"/>
    <tableColumn id="4" xr3:uid="{2F3AE3C0-9242-40BD-8622-5811CB242886}" name="CANTIDAD TOTAL ESTIMADA" dataDxfId="452"/>
    <tableColumn id="5" xr3:uid="{D315BB01-21E8-4188-A0E9-DCFAFB62DFA4}" name="PRECIO UNITARIO ESTIMADO" dataDxfId="451"/>
    <tableColumn id="6" xr3:uid="{07CD1CCC-BE35-4D24-A42B-9A2543FD591D}" name="MONTO TOTAL ESTIMADO" dataDxfId="450">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B62F88-A4D1-4937-998E-0948C87BC36D}" name="Table23" displayName="Table23" ref="A430:F431" totalsRowShown="0" headerRowDxfId="441" dataDxfId="440">
  <tableColumns count="6">
    <tableColumn id="1" xr3:uid="{3840D33F-58B9-4FE7-ABAE-440774A25FD3}" name="CÓDIGO CATÁLOGO" dataDxfId="447"/>
    <tableColumn id="2" xr3:uid="{DBB686CD-65C3-422B-BFBA-5159DA1A0AD1}" name="ARTÍCULO" dataDxfId="446">
      <calculatedColumnFormula>IFERROR(INDEX(UNSPSCDes,MATCH(INDIRECT(ADDRESS(ROW(),COLUMN()-1,4)),UNSPSCCode,0)),IF(INDIRECT(ADDRESS(ROW(),COLUMN()-1,4))="30191502","Andamios",""))</calculatedColumnFormula>
    </tableColumn>
    <tableColumn id="3" xr3:uid="{DC5458E9-EF6E-4EF6-A272-5003EB7957F1}" name="UNIDAD DE MEDIDA" dataDxfId="445">
      <calculatedColumnFormula>IFERROR(VLOOKUP("UD",'[1]Informacion '!P:Q,2,FALSE),"")</calculatedColumnFormula>
    </tableColumn>
    <tableColumn id="4" xr3:uid="{AC8B4A75-AB74-4718-A268-EE91D94DA105}" name="CANTIDAD TOTAL ESTIMADA" dataDxfId="444"/>
    <tableColumn id="5" xr3:uid="{B3A5FD71-0623-45B5-A6E2-86E7F9E86B22}" name="PRECIO UNITARIO ESTIMADO" dataDxfId="443"/>
    <tableColumn id="6" xr3:uid="{BC19B9C9-9C87-44C3-B864-2029E0AD94A9}" name="MONTO TOTAL ESTIMADO" dataDxfId="442">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9C0F878-5B05-4560-9757-E61A7DD6E5B7}" name="Table39" displayName="Table39" ref="A753:F762" totalsRowShown="0" headerRowDxfId="433" dataDxfId="432">
  <tableColumns count="6">
    <tableColumn id="1" xr3:uid="{0A23CFEC-EC6B-42DE-8854-490CBEA05FD3}" name="CÓDIGO CATÁLOGO" dataDxfId="439"/>
    <tableColumn id="2" xr3:uid="{5472BC4C-B519-4719-921D-3519D4318E35}" name="ARTÍCULO" dataDxfId="438"/>
    <tableColumn id="3" xr3:uid="{9B5621B8-F925-4E08-96DB-210D553100D1}" name="UNIDAD DE MEDIDA" dataDxfId="437"/>
    <tableColumn id="4" xr3:uid="{E2FBB981-FFF2-432E-BE42-7212C8FB9A7F}" name="CANTIDAD TOTAL ESTIMADA" dataDxfId="436"/>
    <tableColumn id="5" xr3:uid="{42A5BC76-7FCC-4C09-B854-85ADA82FCDB1}" name="PRECIO UNITARIO ESTIMADO" dataDxfId="435"/>
    <tableColumn id="6" xr3:uid="{86DABC37-6F04-412C-BD34-4FEA9460EDE2}" name="MONTO TOTAL ESTIMADO" dataDxfId="434">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6C73841-FBE4-4F82-8B02-2DB9DE1AB699}" name="Table33" displayName="Table33" ref="A582:F600" totalsRowShown="0" headerRowDxfId="425" dataDxfId="424">
  <tableColumns count="6">
    <tableColumn id="1" xr3:uid="{3D15656C-39E2-410B-973F-59685C932A56}" name="CÓDIGO CATÁLOGO" dataDxfId="431"/>
    <tableColumn id="2" xr3:uid="{85DD63F0-CEB6-48C3-B8E7-9626170F682A}" name="ARTÍCULO" dataDxfId="430"/>
    <tableColumn id="3" xr3:uid="{C45E7F19-F8A9-4FD2-858E-A801B82CCBA2}" name="UNIDAD DE MEDIDA" dataDxfId="429">
      <calculatedColumnFormula>IFERROR(VLOOKUP("UD",'[1]Informacion '!P:Q,2,FALSE),"")</calculatedColumnFormula>
    </tableColumn>
    <tableColumn id="4" xr3:uid="{D0B03DAB-04AD-467D-8922-01685B9DE2D5}" name="CANTIDAD TOTAL ESTIMADA" dataDxfId="428"/>
    <tableColumn id="5" xr3:uid="{6C1C5450-C215-483C-A4BB-C592ACC6E0E3}" name="PRECIO UNITARIO ESTIMADO" dataDxfId="427"/>
    <tableColumn id="6" xr3:uid="{29927747-A324-4A42-A852-731CE5B6428D}" name="MONTO TOTAL ESTIMADO" dataDxfId="426">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9BF635-1B6B-4213-9C96-1A2717BB2511}" name="Table50" displayName="Table50" ref="A1012:F1013" totalsRowShown="0" headerRowDxfId="417" dataDxfId="416">
  <tableColumns count="6">
    <tableColumn id="1" xr3:uid="{3E7B55E1-3A6E-4610-A314-C52FD74190B1}" name="CÓDIGO CATÁLOGO" dataDxfId="423"/>
    <tableColumn id="2" xr3:uid="{E166F171-D832-4D00-924E-91BAC9F2DD0C}" name="ARTÍCULO" dataDxfId="422">
      <calculatedColumnFormula>IFERROR(INDEX(UNSPSCDes,MATCH(INDIRECT(ADDRESS(ROW(),COLUMN()-1,4)),UNSPSCCode,0)),IF(INDIRECT(ADDRESS(ROW(),COLUMN()-1,4))="12141901","Cloro cl",""))</calculatedColumnFormula>
    </tableColumn>
    <tableColumn id="3" xr3:uid="{BF41581A-BDCF-4A0C-97B2-938D10F62A09}" name="UNIDAD DE MEDIDA" dataDxfId="421">
      <calculatedColumnFormula>IFERROR(VLOOKUP("PAQ",'[1]Informacion '!P:Q,2,FALSE),"")</calculatedColumnFormula>
    </tableColumn>
    <tableColumn id="4" xr3:uid="{7B1F7956-6F36-4C95-9843-ACDC8E23A669}" name="CANTIDAD TOTAL ESTIMADA" dataDxfId="420"/>
    <tableColumn id="5" xr3:uid="{1875407E-9473-4F73-911B-10B4FBF660A6}" name="PRECIO UNITARIO ESTIMADO" dataDxfId="419"/>
    <tableColumn id="6" xr3:uid="{0E493E91-DC3F-47E4-86D3-BAD2D011C28B}" name="MONTO TOTAL ESTIMADO" dataDxfId="418">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6AE232C-957D-4C88-8398-BE5A2830B545}" name="Table53" displayName="Table53" ref="A1051:F1053" totalsRowShown="0" headerRowDxfId="409" dataDxfId="408">
  <tableColumns count="6">
    <tableColumn id="1" xr3:uid="{81A0B17B-3BE5-4C79-8381-75CDCB796014}" name="CÓDIGO CATÁLOGO" dataDxfId="415"/>
    <tableColumn id="2" xr3:uid="{7210066C-59ED-4231-B5A4-C541EE182C97}" name="ARTÍCULO" dataDxfId="414"/>
    <tableColumn id="3" xr3:uid="{C8815AE6-0B96-489D-A664-17AB81350E72}" name="UNIDAD DE MEDIDA" dataDxfId="413">
      <calculatedColumnFormula>IFERROR(VLOOKUP("UD",'[1]Informacion '!P:Q,2,FALSE),"")</calculatedColumnFormula>
    </tableColumn>
    <tableColumn id="4" xr3:uid="{85456840-476C-4673-9C2B-FE5EE79A2824}" name="CANTIDAD TOTAL ESTIMADA" dataDxfId="412"/>
    <tableColumn id="5" xr3:uid="{AD41E58C-7C9F-4608-949B-E25CADE88DD4}" name="PRECIO UNITARIO ESTIMADO" dataDxfId="411"/>
    <tableColumn id="6" xr3:uid="{07AFA4E8-FDE3-4E8D-9E9C-7A1C165469B5}" name="MONTO TOTAL ESTIMADO" dataDxfId="410">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67D6219-E0DE-4936-8766-CE44E9D1129E}" name="Table42" displayName="Table42" ref="A824:F834" totalsRowShown="0" headerRowDxfId="401" dataDxfId="400">
  <tableColumns count="6">
    <tableColumn id="1" xr3:uid="{3432B798-48DE-4046-BE18-3F2E4EDAF0CD}" name="CÓDIGO CATÁLOGO" dataDxfId="407"/>
    <tableColumn id="2" xr3:uid="{461D8D90-A0BB-40DB-8E09-FD9DDDDEF7F1}" name="ARTÍCULO" dataDxfId="406"/>
    <tableColumn id="3" xr3:uid="{575628CA-08DE-48D3-BEE1-4728649EBAEA}" name="UNIDAD DE MEDIDA" dataDxfId="405"/>
    <tableColumn id="4" xr3:uid="{A88E61A8-D876-42C5-A443-030100F73EDB}" name="CANTIDAD TOTAL ESTIMADA" dataDxfId="404"/>
    <tableColumn id="5" xr3:uid="{D4300944-F7AA-418B-8E14-8F6C11A0AF11}" name="PRECIO UNITARIO ESTIMADO" dataDxfId="403"/>
    <tableColumn id="6" xr3:uid="{1460AE97-E7EE-4A2E-B99C-4B5D3E4A7FE1}" name="MONTO TOTAL ESTIMADO" dataDxfId="402">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36C81CD-8E5A-4E11-98DE-20D0043FA877}" name="Table25" displayName="Table25" ref="A459:F460" totalsRowShown="0" headerRowDxfId="393" dataDxfId="392">
  <tableColumns count="6">
    <tableColumn id="1" xr3:uid="{FA224FDB-CAB7-4D99-BF19-5CF8131707FD}" name="CÓDIGO CATÁLOGO" dataDxfId="399"/>
    <tableColumn id="2" xr3:uid="{EEA240C8-67F6-447F-A97A-58EF2E031DF8}" name="ARTÍCULO" dataDxfId="398">
      <calculatedColumnFormula>IFERROR(INDEX(UNSPSCDes,MATCH(INDIRECT(ADDRESS(ROW(),COLUMN()-1,4)),UNSPSCCode,0)),IF(INDIRECT(ADDRESS(ROW(),COLUMN()-1,4))="73181008","Servicios de perforación",""))</calculatedColumnFormula>
    </tableColumn>
    <tableColumn id="3" xr3:uid="{5DD4D5FA-1430-484A-98A1-876DB3C79E5B}" name="UNIDAD DE MEDIDA" dataDxfId="397">
      <calculatedColumnFormula>IFERROR(VLOOKUP("UD",'[1]Informacion '!P:Q,2,FALSE),"")</calculatedColumnFormula>
    </tableColumn>
    <tableColumn id="4" xr3:uid="{537CDDF5-B6D9-4BC1-8DDE-ECFA23A3D3EC}" name="CANTIDAD TOTAL ESTIMADA" dataDxfId="396"/>
    <tableColumn id="5" xr3:uid="{9F756A94-BB7B-4BE7-ACBE-8C0D88ED2543}" name="PRECIO UNITARIO ESTIMADO" dataDxfId="395"/>
    <tableColumn id="6" xr3:uid="{168FF61B-34E1-4EC4-8A49-6FA35CAF201A}" name="MONTO TOTAL ESTIMADO" dataDxfId="394">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C941EE2-023E-4514-AAA7-F80913D83297}" name="Table47" displayName="Table47" ref="A928:F978" totalsRowShown="0" headerRowDxfId="385" dataDxfId="384">
  <tableColumns count="6">
    <tableColumn id="1" xr3:uid="{B9548E50-7523-47A0-8E4D-404EEFE34E07}" name="CÓDIGO CATÁLOGO" dataDxfId="391"/>
    <tableColumn id="2" xr3:uid="{D2E4EA55-80E5-4035-8747-405B567BE353}" name="ARTÍCULO" dataDxfId="390"/>
    <tableColumn id="3" xr3:uid="{C6F6DD5D-6DC3-4C15-A5EF-2AFD7371D78D}" name="UNIDAD DE MEDIDA" dataDxfId="389"/>
    <tableColumn id="4" xr3:uid="{268C6EE7-762D-4258-AA95-3C79C9A56716}" name="CANTIDAD TOTAL ESTIMADA" dataDxfId="388"/>
    <tableColumn id="5" xr3:uid="{35270F93-7653-49BB-A6A1-ADCF534856CD}" name="PRECIO UNITARIO ESTIMADO" dataDxfId="387"/>
    <tableColumn id="6" xr3:uid="{18D2FB7C-A01B-40A2-9314-D7CA88E2D9F8}" name="MONTO TOTAL ESTIMADO" dataDxfId="386">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707D0A-158D-4878-BF29-C4484610CC04}" name="Table56" displayName="Table56" ref="A1129:F1155" totalsRowShown="0" headerRowDxfId="521" dataDxfId="520">
  <tableColumns count="6">
    <tableColumn id="1" xr3:uid="{370EAA7F-7630-4F1B-B40D-8AD1D1B190F9}" name="CÓDIGO CATÁLOGO" dataDxfId="527"/>
    <tableColumn id="2" xr3:uid="{1E94C348-760C-402F-B942-58CCA8B8E7C4}" name="ARTÍCULO" dataDxfId="526"/>
    <tableColumn id="3" xr3:uid="{E9D81913-DDDC-4B4C-8742-4E969D98807A}" name="UNIDAD DE MEDIDA" dataDxfId="525"/>
    <tableColumn id="4" xr3:uid="{A51457E4-CDAF-4AA6-B683-8CF79BEE8D20}" name="CANTIDAD TOTAL ESTIMADA" dataDxfId="524"/>
    <tableColumn id="5" xr3:uid="{9ADA817C-C8F0-40B8-B3CF-C1BE540159D5}" name="PRECIO UNITARIO ESTIMADO" dataDxfId="523"/>
    <tableColumn id="6" xr3:uid="{F9182066-97FF-4E15-990B-ACB4E4C13847}" name="MONTO TOTAL ESTIMADO" dataDxfId="522">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960595B-22BA-4B14-8D09-293618D294F6}" name="Table20" displayName="Table20" ref="A390:F392" totalsRowShown="0" headerRowDxfId="377" dataDxfId="376">
  <tableColumns count="6">
    <tableColumn id="1" xr3:uid="{21A617BB-AA65-486D-876B-9185C0265D1B}" name="CÓDIGO CATÁLOGO" dataDxfId="383"/>
    <tableColumn id="2" xr3:uid="{F940BB5F-266D-44BE-A3B5-E1A193EECEA4}" name="ARTÍCULO" dataDxfId="382"/>
    <tableColumn id="3" xr3:uid="{D12E65C7-E78E-40A3-871B-FC2194867BFD}" name="UNIDAD DE MEDIDA" dataDxfId="381">
      <calculatedColumnFormula>IFERROR(VLOOKUP("UD",'[1]Informacion '!P:Q,2,FALSE),"")</calculatedColumnFormula>
    </tableColumn>
    <tableColumn id="4" xr3:uid="{E88C51E8-7021-408D-84CA-E83425BADF1B}" name="CANTIDAD TOTAL ESTIMADA" dataDxfId="380"/>
    <tableColumn id="5" xr3:uid="{A3928F02-2C6C-4D50-ADA7-C8FE625F6548}" name="PRECIO UNITARIO ESTIMADO" dataDxfId="379"/>
    <tableColumn id="6" xr3:uid="{F1AB2FE2-4A61-4E91-A5AF-3E172C265C72}" name="MONTO TOTAL ESTIMADO" dataDxfId="378">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731626-41CB-4D8E-AD1D-45A2AFA4F6DB}" name="Table15" displayName="Table15" ref="A308:F309" totalsRowShown="0" headerRowDxfId="369" dataDxfId="368">
  <tableColumns count="6">
    <tableColumn id="1" xr3:uid="{02D59F0B-1D45-4635-8BBD-E1911ACC9C1D}" name="CÓDIGO CATÁLOGO" dataDxfId="375"/>
    <tableColumn id="2" xr3:uid="{E1DE634A-34EA-4348-9F1D-4F55A11ED83F}" name="ARTÍCULO" dataDxfId="374">
      <calculatedColumnFormula>IFERROR(INDEX(UNSPSCDes,MATCH(INDIRECT(ADDRESS(ROW(),COLUMN()-1,4)),UNSPSCCode,0)),IF(INDIRECT(ADDRESS(ROW(),COLUMN()-1,4))="10161707","Arreglo de flores cortadas",""))</calculatedColumnFormula>
    </tableColumn>
    <tableColumn id="3" xr3:uid="{ECEE2C69-5FCF-41FC-8771-7F65CA5E4A9F}" name="UNIDAD DE MEDIDA" dataDxfId="373">
      <calculatedColumnFormula>IFERROR(VLOOKUP("UD",'[1]Informacion '!P:Q,2,FALSE),"")</calculatedColumnFormula>
    </tableColumn>
    <tableColumn id="4" xr3:uid="{59468B6A-F94F-4198-94BF-792D53D2C050}" name="CANTIDAD TOTAL ESTIMADA" dataDxfId="372"/>
    <tableColumn id="5" xr3:uid="{C6715308-61EB-4E6F-A43A-DB6706F83772}" name="PRECIO UNITARIO ESTIMADO" dataDxfId="371"/>
    <tableColumn id="6" xr3:uid="{2478F482-3B99-4BB6-AEAB-547674CAA8F6}" name="MONTO TOTAL ESTIMADO" dataDxfId="370">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5386CD9-F6DA-43F2-ABC2-2B029777350A}" name="Table19" displayName="Table19" ref="A378:F380" totalsRowShown="0" headerRowDxfId="361" dataDxfId="360">
  <tableColumns count="6">
    <tableColumn id="1" xr3:uid="{810D0917-0B19-4617-943D-73BAA74B1DD1}" name="CÓDIGO CATÁLOGO" dataDxfId="367"/>
    <tableColumn id="2" xr3:uid="{B241C680-5958-4747-85D1-19911ACBC9E4}" name="ARTÍCULO" dataDxfId="366">
      <calculatedColumnFormula>IFERROR(INDEX(UNSPSCDes,MATCH(INDIRECT(ADDRESS(ROW(),COLUMN()-1,4)),UNSPSCCode,0)),IF(INDIRECT(ADDRESS(ROW(),COLUMN()-1,4))="50111510","Carne de ave o carne fresca",""))</calculatedColumnFormula>
    </tableColumn>
    <tableColumn id="3" xr3:uid="{9D965A17-687B-40E5-A11B-45BF09F5DF79}" name="UNIDAD DE MEDIDA" dataDxfId="365">
      <calculatedColumnFormula>IFERROR(VLOOKUP("UD",'[1]Informacion '!P:Q,2,FALSE),"")</calculatedColumnFormula>
    </tableColumn>
    <tableColumn id="4" xr3:uid="{CC57B95A-0631-44B3-882F-C089EEAA8845}" name="CANTIDAD TOTAL ESTIMADA" dataDxfId="364"/>
    <tableColumn id="5" xr3:uid="{7E275AD7-7663-4CE8-8712-7D5B6C8FAFA2}" name="PRECIO UNITARIO ESTIMADO" dataDxfId="363"/>
    <tableColumn id="6" xr3:uid="{A8A34634-C829-4E8A-9B32-4EA000F786DB}" name="MONTO TOTAL ESTIMADO" dataDxfId="362">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5B331F-673E-48BB-B3F3-5767F5A61405}" name="Table10" displayName="Table10" ref="A210:F211" totalsRowShown="0" headerRowDxfId="353" dataDxfId="352">
  <tableColumns count="6">
    <tableColumn id="1" xr3:uid="{B9BB5631-7DDA-4F04-B72C-8708A93E6101}" name="CÓDIGO CATÁLOGO" dataDxfId="359"/>
    <tableColumn id="2" xr3:uid="{E38E36A0-63B8-4E53-BF85-3C108B08770F}" name="ARTÍCULO" dataDxfId="358">
      <calculatedColumnFormula>IFERROR(INDEX(UNSPSCDes,MATCH(INDIRECT(ADDRESS(ROW(),COLUMN()-1,4)),UNSPSCCode,0)),IF(INDIRECT(ADDRESS(ROW(),COLUMN()-1,4))="10121505","Heno",""))</calculatedColumnFormula>
    </tableColumn>
    <tableColumn id="3" xr3:uid="{FDC202AF-EE7D-4632-BCDA-239E3588252E}" name="UNIDAD DE MEDIDA" dataDxfId="357">
      <calculatedColumnFormula>IFERROR(VLOOKUP("UD",'[1]Informacion '!P:Q,2,FALSE),"")</calculatedColumnFormula>
    </tableColumn>
    <tableColumn id="4" xr3:uid="{8926ACD2-879C-42DB-9616-8719764282CD}" name="CANTIDAD TOTAL ESTIMADA" dataDxfId="356"/>
    <tableColumn id="5" xr3:uid="{C44A08B5-7E5E-41C5-A2B8-88A6CBA7B035}" name="PRECIO UNITARIO ESTIMADO" dataDxfId="355"/>
    <tableColumn id="6" xr3:uid="{510F9C6B-A0F2-4453-9A14-38A2F0C3AC41}" name="MONTO TOTAL ESTIMADO" dataDxfId="354">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775E71C-24A8-464D-84C3-332985CA167F}" name="Table26" displayName="Table26" ref="A470:F471" totalsRowShown="0" headerRowDxfId="345" dataDxfId="344">
  <tableColumns count="6">
    <tableColumn id="1" xr3:uid="{A6D6D5AB-5B59-43C3-BCBC-CE94A02705E6}" name="CÓDIGO CATÁLOGO" dataDxfId="351"/>
    <tableColumn id="2" xr3:uid="{DB11AF94-A01C-4A50-90FD-BA639AA3122E}" name="ARTÍCULO" dataDxfId="350">
      <calculatedColumnFormula>IFERROR(INDEX(UNSPSCDes,MATCH(INDIRECT(ADDRESS(ROW(),COLUMN()-1,4)),UNSPSCCode,0)),IF(INDIRECT(ADDRESS(ROW(),COLUMN()-1,4))="42201712","Unidades de ultrasonido o doppler o eco pulso o ecografía de diagnóstico general para uso médico",""))</calculatedColumnFormula>
    </tableColumn>
    <tableColumn id="3" xr3:uid="{2111F698-6314-45B0-A7CA-B7CC28F6A939}" name="UNIDAD DE MEDIDA" dataDxfId="349">
      <calculatedColumnFormula>IFERROR(VLOOKUP("UD",'[1]Informacion '!P:Q,2,FALSE),"")</calculatedColumnFormula>
    </tableColumn>
    <tableColumn id="4" xr3:uid="{AC919F82-B690-46E4-9655-466FA33FD953}" name="CANTIDAD TOTAL ESTIMADA" dataDxfId="348"/>
    <tableColumn id="5" xr3:uid="{9A44B6A4-1019-4B7F-9C75-9FB4EEA77B48}" name="PRECIO UNITARIO ESTIMADO" dataDxfId="347"/>
    <tableColumn id="6" xr3:uid="{46492175-02F4-4AF3-A51D-24243CDBCD04}" name="MONTO TOTAL ESTIMADO" dataDxfId="346">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896BBA5-8448-4602-B73A-2262DA09A065}" name="Table21" displayName="Table21" ref="A402:F407" totalsRowShown="0" headerRowDxfId="337" dataDxfId="336">
  <tableColumns count="6">
    <tableColumn id="1" xr3:uid="{38DA58C7-26CC-47A1-B27B-0AE2E585A7B0}" name="CÓDIGO CATÁLOGO" dataDxfId="343"/>
    <tableColumn id="2" xr3:uid="{174EAEFB-617F-40D8-99D7-9AA253AC79FD}" name="ARTÍCULO" dataDxfId="342">
      <calculatedColumnFormula>IFERROR(INDEX(UNSPSCDes,MATCH(INDIRECT(ADDRESS(ROW(),COLUMN()-1,4)),UNSPSCCode,0)),IF(INDIRECT(ADDRESS(ROW(),COLUMN()-1,4))="72102602","Instalación de ventanas, puertas o dispositivos",""))</calculatedColumnFormula>
    </tableColumn>
    <tableColumn id="3" xr3:uid="{6E24707B-8046-41CE-95EE-6873CE18BD10}" name="UNIDAD DE MEDIDA" dataDxfId="341">
      <calculatedColumnFormula>IFERROR(VLOOKUP("UD",'[1]Informacion '!P:Q,2,FALSE),"")</calculatedColumnFormula>
    </tableColumn>
    <tableColumn id="4" xr3:uid="{645FBDCE-2AB0-4D90-9EAE-093ED054B87C}" name="CANTIDAD TOTAL ESTIMADA" dataDxfId="340"/>
    <tableColumn id="5" xr3:uid="{6E95944F-CEBF-4E03-943D-9CDB294A950E}" name="PRECIO UNITARIO ESTIMADO" dataDxfId="339"/>
    <tableColumn id="6" xr3:uid="{62CB2488-314A-4E8A-B2AF-3272D1902712}" name="MONTO TOTAL ESTIMADO" dataDxfId="338">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5046DD-6D45-4FD4-A6DE-3D40E3C4B2D9}" name="Table45" displayName="Table45" ref="A893:F898" totalsRowShown="0" headerRowDxfId="329" dataDxfId="328">
  <tableColumns count="6">
    <tableColumn id="1" xr3:uid="{D00E114F-D656-4AEA-B667-C24312DF0D0D}" name="CÓDIGO CATÁLOGO" dataDxfId="335"/>
    <tableColumn id="2" xr3:uid="{456382C4-8612-40FB-AFD9-31AC7B654B08}" name="ARTÍCULO" dataDxfId="334"/>
    <tableColumn id="3" xr3:uid="{02E1362F-0C39-48EF-B011-7E5863423A61}" name="UNIDAD DE MEDIDA" dataDxfId="333"/>
    <tableColumn id="4" xr3:uid="{BAFAB874-3DF1-4503-A82D-6D66A6418D7E}" name="CANTIDAD TOTAL ESTIMADA" dataDxfId="332"/>
    <tableColumn id="5" xr3:uid="{18D37C2D-B914-433C-AA70-08E49FF26407}" name="PRECIO UNITARIO ESTIMADO" dataDxfId="331"/>
    <tableColumn id="6" xr3:uid="{936E6B8B-0392-4EAF-A2CD-ED9BCCFBAD0A}" name="MONTO TOTAL ESTIMADO" dataDxfId="330">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99C9AE4-C938-401E-ABD7-C54EE4C0D7FC}" name="Table29" displayName="Table29" ref="A510:F511" totalsRowShown="0" headerRowDxfId="321" dataDxfId="320">
  <tableColumns count="6">
    <tableColumn id="1" xr3:uid="{F583ED22-CF00-447F-95D3-19F6DE11E813}" name="CÓDIGO CATÁLOGO" dataDxfId="327"/>
    <tableColumn id="2" xr3:uid="{5B7643B5-CC4A-48AF-951F-765F7B1994FC}" name="ARTÍCULO" dataDxfId="326">
      <calculatedColumnFormula>IFERROR(INDEX(UNSPSCDes,MATCH(INDIRECT(ADDRESS(ROW(),COLUMN()-1,4)),UNSPSCCode,0)),IF(INDIRECT(ADDRESS(ROW(),COLUMN()-1,4))="50202301","Agua",""))</calculatedColumnFormula>
    </tableColumn>
    <tableColumn id="3" xr3:uid="{491A9CA5-557A-45E2-BF0E-12C00F826180}" name="UNIDAD DE MEDIDA" dataDxfId="325">
      <calculatedColumnFormula>IFERROR(VLOOKUP("UD",'[1]Informacion '!P:Q,2,FALSE),"")</calculatedColumnFormula>
    </tableColumn>
    <tableColumn id="4" xr3:uid="{7017432B-2CD4-4807-81F7-AC7479A3E33C}" name="CANTIDAD TOTAL ESTIMADA" dataDxfId="324"/>
    <tableColumn id="5" xr3:uid="{E85465E5-348C-4126-9964-6FFEFF17DF07}" name="PRECIO UNITARIO ESTIMADO" dataDxfId="323"/>
    <tableColumn id="6" xr3:uid="{5B281BDE-0C64-4D6F-BF7C-CC410D78FEA4}" name="MONTO TOTAL ESTIMADO" dataDxfId="322">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1B848E6-9A94-4A77-91FC-0BD6C1999066}" name="Table69" displayName="Table69" ref="A1481:F1498" totalsRowShown="0" headerRowDxfId="313" dataDxfId="312">
  <tableColumns count="6">
    <tableColumn id="1" xr3:uid="{7CCC0955-93A6-4469-84F1-E824EF0F416E}" name="CÓDIGO CATÁLOGO" dataDxfId="319"/>
    <tableColumn id="2" xr3:uid="{0AEA311F-D23C-4EE9-A4F1-BB5D85E178B2}" name="ARTÍCULO" dataDxfId="318"/>
    <tableColumn id="3" xr3:uid="{F9E6C51C-4ECD-490A-95B1-1FDE202F6182}" name="UNIDAD DE MEDIDA" dataDxfId="317"/>
    <tableColumn id="4" xr3:uid="{D66BD34E-E67E-4FCE-8946-5F83599E11C9}" name="CANTIDAD TOTAL ESTIMADA" dataDxfId="316"/>
    <tableColumn id="5" xr3:uid="{FD24D79F-794A-4AF1-8491-F201AA13AFE9}" name="PRECIO UNITARIO ESTIMADO" dataDxfId="315"/>
    <tableColumn id="6" xr3:uid="{AA4019E1-DF41-4439-BE21-7E2D43BE98F8}" name="MONTO TOTAL ESTIMADO" dataDxfId="314">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D7BFC29-EB9D-4B1B-A227-2E8D6F13B0D6}" name="Table57" displayName="Table57" ref="A1165:F1177" totalsRowShown="0" headerRowDxfId="305" dataDxfId="304">
  <tableColumns count="6">
    <tableColumn id="1" xr3:uid="{20ABB8F6-6232-4D34-9C96-4B4F831B8BEF}" name="CÓDIGO CATÁLOGO" dataDxfId="311"/>
    <tableColumn id="2" xr3:uid="{E4CB7F4D-1B7B-4B6D-81E1-2C62E1B1B1CB}" name="ARTÍCULO" dataDxfId="310"/>
    <tableColumn id="3" xr3:uid="{CAF830A3-3621-41E1-9F30-88EE5C640FF4}" name="UNIDAD DE MEDIDA" dataDxfId="309"/>
    <tableColumn id="4" xr3:uid="{25B6A337-7282-4B8E-8937-E1BEC6B420B7}" name="CANTIDAD TOTAL ESTIMADA" dataDxfId="308"/>
    <tableColumn id="5" xr3:uid="{7AB58360-2B87-4CC9-BE0F-F680376F6E31}" name="PRECIO UNITARIO ESTIMADO" dataDxfId="307"/>
    <tableColumn id="6" xr3:uid="{2DF3154C-FFE3-46C2-9424-3DA89792F5F4}" name="MONTO TOTAL ESTIMADO" dataDxfId="306">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C30E0D-5FD1-4DBF-B851-BA02253E7E9D}" name="Table28" displayName="Table28" ref="A493:F500" totalsRowShown="0" headerRowDxfId="513" dataDxfId="512">
  <tableColumns count="6">
    <tableColumn id="1" xr3:uid="{16362694-753A-4D99-BDDB-01601AAFAC09}" name="CÓDIGO CATÁLOGO" dataDxfId="519"/>
    <tableColumn id="2" xr3:uid="{D5F4B882-FA45-48CF-A8D2-F375FF41A58B}" name="ARTÍCULO" dataDxfId="518">
      <calculatedColumnFormula>IFERROR(INDEX(UNSPSCDes,MATCH(INDIRECT(ADDRESS(ROW(),COLUMN()-1,4)),UNSPSCCode,0)),IF(INDIRECT(ADDRESS(ROW(),COLUMN()-1,4))="72101509","Servicio de mantenimiento o reparación de equipos y sistemas de protección contra incendios",""))</calculatedColumnFormula>
    </tableColumn>
    <tableColumn id="3" xr3:uid="{D3E41895-4673-42C6-B183-34B63791A2EC}" name="UNIDAD DE MEDIDA" dataDxfId="517">
      <calculatedColumnFormula>IFERROR(VLOOKUP("UD",'[1]Informacion '!P:Q,2,FALSE),"")</calculatedColumnFormula>
    </tableColumn>
    <tableColumn id="4" xr3:uid="{F5E8B05F-DFFB-4435-ADBA-EDD10703E188}" name="CANTIDAD TOTAL ESTIMADA" dataDxfId="516"/>
    <tableColumn id="5" xr3:uid="{32B52369-8059-4814-8D25-77AB442C32B5}" name="PRECIO UNITARIO ESTIMADO" dataDxfId="515"/>
    <tableColumn id="6" xr3:uid="{657B7677-CCA7-4521-9F84-881887ABC683}" name="MONTO TOTAL ESTIMADO" dataDxfId="514">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7FC43D0-2D42-46DE-8152-2E959B03452E}" name="Table43" displayName="Table43" ref="A844:F861" totalsRowShown="0" headerRowDxfId="297" dataDxfId="296">
  <tableColumns count="6">
    <tableColumn id="1" xr3:uid="{FA6F125C-860E-4A81-A10D-D04754E10117}" name="CÓDIGO CATÁLOGO" dataDxfId="303"/>
    <tableColumn id="2" xr3:uid="{AA9DE8B3-4375-437D-819F-48F81A67586B}" name="ARTÍCULO" dataDxfId="302"/>
    <tableColumn id="3" xr3:uid="{1B37F653-3339-43E7-A55D-FBA2AFDA2E1C}" name="UNIDAD DE MEDIDA" dataDxfId="301">
      <calculatedColumnFormula>IFERROR(VLOOKUP("UD",'[1]Informacion '!P:Q,2,FALSE),"")</calculatedColumnFormula>
    </tableColumn>
    <tableColumn id="4" xr3:uid="{E3B856C3-3827-41FA-B45B-F544073A71E9}" name="CANTIDAD TOTAL ESTIMADA" dataDxfId="300"/>
    <tableColumn id="5" xr3:uid="{9DF3C1C6-C44D-46C6-B5D6-1C4CF20EC530}" name="PRECIO UNITARIO ESTIMADO" dataDxfId="299"/>
    <tableColumn id="6" xr3:uid="{EF4C087B-70FF-4A53-89A5-24ABD0C76C23}" name="MONTO TOTAL ESTIMADO" dataDxfId="298">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78D8675-2DCD-46AB-917A-2396347B4BFE}" name="Table64" displayName="Table64" ref="A1328:F1360" totalsRowShown="0" headerRowDxfId="289" dataDxfId="288">
  <tableColumns count="6">
    <tableColumn id="1" xr3:uid="{69B1E3D5-123D-4855-ACB8-03F33595B294}" name="CÓDIGO CATÁLOGO" dataDxfId="295"/>
    <tableColumn id="2" xr3:uid="{53D3494F-21BD-4563-8A69-3BE56C199971}" name="ARTÍCULO" dataDxfId="294"/>
    <tableColumn id="3" xr3:uid="{7CF50253-136B-433C-89BE-53E063A17D4C}" name="UNIDAD DE MEDIDA" dataDxfId="293"/>
    <tableColumn id="4" xr3:uid="{BAF51733-8D8F-4944-B9FE-9E9CB7447540}" name="CANTIDAD TOTAL ESTIMADA" dataDxfId="292"/>
    <tableColumn id="5" xr3:uid="{93FB9334-DE08-4310-9248-3D2DE7B1F577}" name="PRECIO UNITARIO ESTIMADO" dataDxfId="291"/>
    <tableColumn id="6" xr3:uid="{BEE11738-2A9E-4D7C-B1B3-1973660BD489}" name="MONTO TOTAL ESTIMADO" dataDxfId="290">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AFAFBED-972B-4BF1-BECA-A7AF8AD47542}" name="Table6" displayName="Table6" ref="A88:F116" totalsRowShown="0" headerRowDxfId="281" dataDxfId="280">
  <tableColumns count="6">
    <tableColumn id="1" xr3:uid="{82FB5208-4FDA-414C-A8B5-CD8343B2CC64}" name="CÓDIGO CATÁLOGO" dataDxfId="287"/>
    <tableColumn id="2" xr3:uid="{C2F1A1C1-D409-44FE-9251-2C63F1F87FE2}" name="ARTÍCULO" dataDxfId="286"/>
    <tableColumn id="3" xr3:uid="{927E874F-3372-40AC-863C-03BD25348CA7}" name="UNIDAD DE MEDIDA" dataDxfId="285"/>
    <tableColumn id="4" xr3:uid="{17F3D167-E9C8-4F97-A73B-4BEB34692F6A}" name="CANTIDAD TOTAL ESTIMADA" dataDxfId="284"/>
    <tableColumn id="5" xr3:uid="{C27CC363-C704-4B00-95DC-3C8522DE9B63}" name="PRECIO UNITARIO ESTIMADO" dataDxfId="283"/>
    <tableColumn id="6" xr3:uid="{E23A64E2-12B0-49A7-B08B-7B46489A330E}" name="MONTO TOTAL ESTIMADO" dataDxfId="282">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F609015-8B28-497D-A372-5E46795B567A}" name="Table37" displayName="Table37" ref="A706:F711" totalsRowShown="0" headerRowDxfId="273" dataDxfId="272">
  <tableColumns count="6">
    <tableColumn id="1" xr3:uid="{897F7F80-44D5-484B-8D3F-6A2138B69D4B}" name="CÓDIGO CATÁLOGO" dataDxfId="279"/>
    <tableColumn id="2" xr3:uid="{5AFB3E5E-FF3A-4859-BC9F-E50E709CFD11}" name="ARTÍCULO" dataDxfId="278"/>
    <tableColumn id="3" xr3:uid="{8022BE78-9124-43B3-A4E5-DB7A61692103}" name="UNIDAD DE MEDIDA" dataDxfId="277">
      <calculatedColumnFormula>IFERROR(VLOOKUP("LB",'[1]Informacion '!P:Q,2,FALSE),"")</calculatedColumnFormula>
    </tableColumn>
    <tableColumn id="4" xr3:uid="{DB4DA6CD-C703-4D2A-BF75-D19B773CF502}" name="CANTIDAD TOTAL ESTIMADA" dataDxfId="276"/>
    <tableColumn id="5" xr3:uid="{11672863-9667-4564-B6EA-96D984CC89BD}" name="PRECIO UNITARIO ESTIMADO" dataDxfId="275"/>
    <tableColumn id="6" xr3:uid="{7993E95F-C0D6-4283-AAC9-A2637355ABEC}" name="MONTO TOTAL ESTIMADO" dataDxfId="274">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F71CB31-9846-48EE-85E9-6AB19DBD3723}" name="Table4" displayName="Table4" ref="A22:F63" totalsRowShown="0" headerRowDxfId="265" dataDxfId="264">
  <tableColumns count="6">
    <tableColumn id="1" xr3:uid="{FD18EEE2-1EB9-4960-A8D8-70239ACC3ABD}" name="CÓDIGO CATÁLOGO" dataDxfId="271"/>
    <tableColumn id="2" xr3:uid="{7313AC4C-CBB7-4938-AAD8-BB9172F55BF3}" name="ARTÍCULO" dataDxfId="270"/>
    <tableColumn id="3" xr3:uid="{A05B9A54-988C-425A-B66F-9479AF5388FE}" name="UNIDAD DE MEDIDA" dataDxfId="269"/>
    <tableColumn id="4" xr3:uid="{592BC826-4831-4111-B52C-3F68F30D1063}" name="CANTIDAD TOTAL ESTIMADA" dataDxfId="268"/>
    <tableColumn id="5" xr3:uid="{0BC482D2-2F65-4B1C-A568-44052C72C937}" name="PRECIO UNITARIO ESTIMADO" dataDxfId="267"/>
    <tableColumn id="6" xr3:uid="{5114BBE0-C6AC-4E67-AEBC-EDFC5C67881D}" name="MONTO TOTAL ESTIMADO" dataDxfId="266">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0F3103E-2CC5-4EFC-9954-E3BC87AE6940}" name="Table8" displayName="Table8" ref="A148:F171" totalsRowShown="0" headerRowDxfId="257" dataDxfId="256">
  <tableColumns count="6">
    <tableColumn id="1" xr3:uid="{378DD969-B6FE-4302-B256-3C86BBA1E16C}" name="CÓDIGO CATÁLOGO" dataDxfId="263"/>
    <tableColumn id="2" xr3:uid="{FBC70FFD-A578-4674-B39D-5BD2621D1193}" name="ARTÍCULO" dataDxfId="262"/>
    <tableColumn id="3" xr3:uid="{80E6D0EA-05E3-43AD-B372-5112076CED16}" name="UNIDAD DE MEDIDA" dataDxfId="261"/>
    <tableColumn id="4" xr3:uid="{F7BBBA00-9488-4467-96B2-C49F72C7A9B2}" name="CANTIDAD TOTAL ESTIMADA" dataDxfId="260"/>
    <tableColumn id="5" xr3:uid="{F11152C6-E9C8-4B7F-A4DE-B5190AAB8BAD}" name="PRECIO UNITARIO ESTIMADO" dataDxfId="259"/>
    <tableColumn id="6" xr3:uid="{C38F493A-C21A-435C-A5F3-FDD20BBE2002}" name="MONTO TOTAL ESTIMADO" dataDxfId="258">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A735E23-8A55-4B97-B02E-FFFAAFE3B637}" name="Table51" displayName="Table51" ref="A1023:F1027" totalsRowShown="0" headerRowDxfId="249" dataDxfId="248">
  <tableColumns count="6">
    <tableColumn id="1" xr3:uid="{EDD83CB9-EA27-408B-B369-15839B9F12D7}" name="CÓDIGO CATÁLOGO" dataDxfId="255"/>
    <tableColumn id="2" xr3:uid="{65953DE5-1CFC-42D6-B3B2-B7491A2A799F}" name="ARTÍCULO" dataDxfId="254"/>
    <tableColumn id="3" xr3:uid="{E522DA8F-0588-4458-B47A-0B712B5D6460}" name="UNIDAD DE MEDIDA" dataDxfId="253">
      <calculatedColumnFormula>IFERROR(VLOOKUP("UD",'[1]Informacion '!P:Q,2,FALSE),"")</calculatedColumnFormula>
    </tableColumn>
    <tableColumn id="4" xr3:uid="{7A3BDF50-6B64-4C4D-8137-9164AACEFA33}" name="CANTIDAD TOTAL ESTIMADA" dataDxfId="252"/>
    <tableColumn id="5" xr3:uid="{84EE9CF9-15CF-4EB5-B5BE-1CBA516F26A2}" name="PRECIO UNITARIO ESTIMADO" dataDxfId="251"/>
    <tableColumn id="6" xr3:uid="{5DA25BAD-983F-4FE3-A236-777E77B2116E}" name="MONTO TOTAL ESTIMADO" dataDxfId="250">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620CC8C-E67E-42A7-8E14-57F6E9293AB7}" name="Table16" displayName="Table16" ref="A319:F320" totalsRowShown="0" headerRowDxfId="241" dataDxfId="240">
  <tableColumns count="6">
    <tableColumn id="1" xr3:uid="{60FB7C18-8F24-4BBB-ABFE-1E92F615B9D5}" name="CÓDIGO CATÁLOGO" dataDxfId="247"/>
    <tableColumn id="2" xr3:uid="{920C7F49-ABD9-48C0-B894-8FB4A9B937FE}" name="ARTÍCULO" dataDxfId="246">
      <calculatedColumnFormula>IFERROR(INDEX(UNSPSCDes,MATCH(INDIRECT(ADDRESS(ROW(),COLUMN()-1,4)),UNSPSCCode,0)),IF(INDIRECT(ADDRESS(ROW(),COLUMN()-1,4))="80121704","Servicios legales sobre contratos",""))</calculatedColumnFormula>
    </tableColumn>
    <tableColumn id="3" xr3:uid="{DA987B91-5C17-4C2F-962A-571944FE0697}" name="UNIDAD DE MEDIDA" dataDxfId="245">
      <calculatedColumnFormula>IFERROR(VLOOKUP("UD",'[1]Informacion '!P:Q,2,FALSE),"")</calculatedColumnFormula>
    </tableColumn>
    <tableColumn id="4" xr3:uid="{DDDCFB63-AF01-4DE2-80A8-C24C77D2ED16}" name="CANTIDAD TOTAL ESTIMADA" dataDxfId="244"/>
    <tableColumn id="5" xr3:uid="{C8DC6CCE-AF3A-4AD8-898F-06CB39EEFFEA}" name="PRECIO UNITARIO ESTIMADO" dataDxfId="243"/>
    <tableColumn id="6" xr3:uid="{02DCAE8C-C02E-465E-8670-BC0A9D099644}" name="MONTO TOTAL ESTIMADO" dataDxfId="242">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EE5EBAB-BEBA-49F6-86C8-AE9BB3B7889F}" name="Table11" displayName="Table11" ref="A221:F246" totalsRowShown="0" headerRowDxfId="233" dataDxfId="232">
  <tableColumns count="6">
    <tableColumn id="1" xr3:uid="{7FDC6F6F-B6EE-4EBA-ABA5-4AFF55DDC566}" name="CÓDIGO CATÁLOGO" dataDxfId="239"/>
    <tableColumn id="2" xr3:uid="{DDFEE80A-63EC-43CA-A3CA-54D0EF6F9264}" name="ARTÍCULO" dataDxfId="238"/>
    <tableColumn id="3" xr3:uid="{5366514A-DD0C-4873-AFB6-B2B1429517F4}" name="UNIDAD DE MEDIDA" dataDxfId="237"/>
    <tableColumn id="4" xr3:uid="{A04187CB-B505-4276-9769-50A8D83F8469}" name="CANTIDAD TOTAL ESTIMADA" dataDxfId="236"/>
    <tableColumn id="5" xr3:uid="{6AA5DB04-7EBC-464B-A65A-D9705975EC1F}" name="PRECIO UNITARIO ESTIMADO" dataDxfId="235"/>
    <tableColumn id="6" xr3:uid="{34DF68BE-812D-4891-BF46-E1D3119202B5}" name="MONTO TOTAL ESTIMADO" dataDxfId="234">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B7EBDC2-BE95-4450-8A71-42038E8226D7}" name="Table13" displayName="Table13" ref="A267:F287" totalsRowShown="0" headerRowDxfId="225" dataDxfId="224">
  <tableColumns count="6">
    <tableColumn id="1" xr3:uid="{32B7F042-818A-42FF-AAD5-F719C97C144B}" name="CÓDIGO CATÁLOGO" dataDxfId="231"/>
    <tableColumn id="2" xr3:uid="{67595E04-5A0D-48CD-AC7B-31EB3AC57729}" name="ARTÍCULO" dataDxfId="230"/>
    <tableColumn id="3" xr3:uid="{31A4D97D-52F3-42F8-9976-30B177B1A7C3}" name="UNIDAD DE MEDIDA" dataDxfId="229">
      <calculatedColumnFormula>IFERROR(VLOOKUP("UD",'[1]Informacion '!P:Q,2,FALSE),"")</calculatedColumnFormula>
    </tableColumn>
    <tableColumn id="4" xr3:uid="{3AE1C0A6-4FB7-41A6-A82F-3C689ABA3275}" name="CANTIDAD TOTAL ESTIMADA" dataDxfId="228"/>
    <tableColumn id="5" xr3:uid="{656355F9-E7A9-4810-A752-899075BF9922}" name="PRECIO UNITARIO ESTIMADO" dataDxfId="227"/>
    <tableColumn id="6" xr3:uid="{C5C01230-CD6C-489F-8E6F-B58C4E9443F8}" name="MONTO TOTAL ESTIMADO" dataDxfId="226">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C5C8A2-DC00-475E-8A53-BA27A88B7D48}" name="Table18" displayName="Table18" ref="A341:F368" totalsRowShown="0" headerRowDxfId="505" dataDxfId="504">
  <tableColumns count="6">
    <tableColumn id="1" xr3:uid="{26D06C70-DF2A-43DD-B26D-2BC20113F9C1}" name="CÓDIGO CATÁLOGO" dataDxfId="511"/>
    <tableColumn id="2" xr3:uid="{DFAF6424-7FB9-43A1-A85B-E0001058E291}" name="ARTÍCULO" dataDxfId="510">
      <calculatedColumnFormula>IFERROR(INDEX(UNSPSCDes,MATCH(INDIRECT(ADDRESS(ROW(),COLUMN()-1,4)),UNSPSCCode,0)),IF(INDIRECT(ADDRESS(ROW(),COLUMN()-1,4))="85121802","Servicios de laboratorios bacteriológicos",""))</calculatedColumnFormula>
    </tableColumn>
    <tableColumn id="3" xr3:uid="{83BFE718-7EB6-4315-B11B-45B0700B98C6}" name="UNIDAD DE MEDIDA" dataDxfId="509">
      <calculatedColumnFormula>IFERROR(VLOOKUP("UD",'[1]Informacion '!P:Q,2,FALSE),"")</calculatedColumnFormula>
    </tableColumn>
    <tableColumn id="4" xr3:uid="{43F85E38-E633-447D-BDA8-595ABAA02DA2}" name="CANTIDAD TOTAL ESTIMADA" dataDxfId="508"/>
    <tableColumn id="5" xr3:uid="{79659B24-F43F-4CDB-B356-8811AD276B6A}" name="PRECIO UNITARIO ESTIMADO" dataDxfId="507"/>
    <tableColumn id="6" xr3:uid="{3E25493D-73D1-4243-9B83-2C944BAC7861}" name="MONTO TOTAL ESTIMADO" dataDxfId="506">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E55F066-DC98-41D5-9458-2B77DABB3EFE}" name="Table30" displayName="Table30" ref="A521:F532" totalsRowShown="0" headerRowDxfId="217" dataDxfId="216">
  <tableColumns count="6">
    <tableColumn id="1" xr3:uid="{49CCDCB8-8206-4602-9AFC-37479836312F}" name="CÓDIGO CATÁLOGO" dataDxfId="223"/>
    <tableColumn id="2" xr3:uid="{50A6597C-478C-4BAF-ABE2-AB754BA6A9D7}" name="ARTÍCULO" dataDxfId="222"/>
    <tableColumn id="3" xr3:uid="{DD7EB3A5-558B-400F-AB9E-649DAB631E0D}" name="UNIDAD DE MEDIDA" dataDxfId="221">
      <calculatedColumnFormula>IFERROR(VLOOKUP("UD",'[1]Informacion '!P:Q,2,FALSE),"")</calculatedColumnFormula>
    </tableColumn>
    <tableColumn id="4" xr3:uid="{F950C12E-EA6F-4893-AAAF-0CDEEC59A0FF}" name="CANTIDAD TOTAL ESTIMADA" dataDxfId="220"/>
    <tableColumn id="5" xr3:uid="{91368565-7507-4988-BEE9-EA562ACC3B1F}" name="PRECIO UNITARIO ESTIMADO" dataDxfId="219"/>
    <tableColumn id="6" xr3:uid="{0C62A435-CDE1-46B6-9CFF-AA4F3AFEDBF3}" name="MONTO TOTAL ESTIMADO" dataDxfId="218">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704C6D6-D2D9-40A4-A18D-C1D5137DBC6A}" name="Table35" displayName="Table35" ref="A636:F682" totalsRowShown="0" headerRowDxfId="209" dataDxfId="208">
  <tableColumns count="6">
    <tableColumn id="1" xr3:uid="{969CB0D5-9529-49E7-A88A-8B17E786783B}" name="CÓDIGO CATÁLOGO" dataDxfId="215"/>
    <tableColumn id="2" xr3:uid="{5312EE20-F6B6-48D4-98CC-27FAB0F471F2}" name="ARTÍCULO" dataDxfId="214"/>
    <tableColumn id="3" xr3:uid="{6DFBDBEC-0A28-4907-91C6-966F204CCA36}" name="UNIDAD DE MEDIDA" dataDxfId="213"/>
    <tableColumn id="4" xr3:uid="{36AF6CD3-037C-45A6-AB04-771393A5D016}" name="CANTIDAD TOTAL ESTIMADA" dataDxfId="212"/>
    <tableColumn id="5" xr3:uid="{D186FBE0-E89F-4A63-8AF5-9CE2CD876D4B}" name="PRECIO UNITARIO ESTIMADO" dataDxfId="211"/>
    <tableColumn id="6" xr3:uid="{4FE1B90C-0E5C-4477-BCD9-605CF0C0A9CD}" name="MONTO TOTAL ESTIMADO" dataDxfId="210">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7F2A56F-8646-4F61-8821-08C1FB1F000A}" name="Table58" displayName="Table58" ref="A1187:F1217" totalsRowShown="0" headerRowDxfId="201" dataDxfId="200">
  <tableColumns count="6">
    <tableColumn id="1" xr3:uid="{2DE0BB82-4C5A-4132-889A-C3AACDE7480B}" name="CÓDIGO CATÁLOGO" dataDxfId="207"/>
    <tableColumn id="2" xr3:uid="{4C7CF867-0181-48B9-9629-BE806EF515BF}" name="ARTÍCULO" dataDxfId="206"/>
    <tableColumn id="3" xr3:uid="{4281CE95-D676-442D-95D7-8BC1FD77C32C}" name="UNIDAD DE MEDIDA" dataDxfId="205"/>
    <tableColumn id="4" xr3:uid="{4A0E8929-C9E5-4C80-8E6A-7DEE5C9F07C0}" name="CANTIDAD TOTAL ESTIMADA" dataDxfId="204"/>
    <tableColumn id="5" xr3:uid="{A5CA66E7-CAFB-4E2A-8617-BF96F3395A49}" name="PRECIO UNITARIO ESTIMADO" dataDxfId="203"/>
    <tableColumn id="6" xr3:uid="{D10603EA-8226-4438-9BAB-CD2C42ACB837}" name="MONTO TOTAL ESTIMADO" dataDxfId="202">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CBAD742-2C76-4167-BCCC-B81386AAB068}" name="Table67" displayName="Table67" ref="A1420:F1431" totalsRowShown="0" headerRowDxfId="193" dataDxfId="192">
  <tableColumns count="6">
    <tableColumn id="1" xr3:uid="{24D67187-97A2-4EB4-AE3B-AFC65C804524}" name="CÓDIGO CATÁLOGO" dataDxfId="199"/>
    <tableColumn id="2" xr3:uid="{AE39F9AD-BD6B-43D1-820D-55F648DEC1BF}" name="ARTÍCULO" dataDxfId="198"/>
    <tableColumn id="3" xr3:uid="{1368F7FA-E0CC-42BD-A85D-5D66C0E52B65}" name="UNIDAD DE MEDIDA" dataDxfId="197"/>
    <tableColumn id="4" xr3:uid="{6796A36F-6FC9-4D84-9686-1F855822B353}" name="CANTIDAD TOTAL ESTIMADA" dataDxfId="196"/>
    <tableColumn id="5" xr3:uid="{89A4A123-658D-4C50-A530-81423263B6AA}" name="PRECIO UNITARIO ESTIMADO" dataDxfId="195"/>
    <tableColumn id="6" xr3:uid="{AE7736D8-4DAE-46C3-8AC0-F79AF30DFF73}" name="MONTO TOTAL ESTIMADO" dataDxfId="194">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CA8C0E0-EC2E-4EF9-AC30-92F936E86F8C}" name="Table63" displayName="Table63" ref="A1313:F1318" totalsRowShown="0" headerRowDxfId="185" dataDxfId="184">
  <tableColumns count="6">
    <tableColumn id="1" xr3:uid="{F6304C9E-B1B2-4511-8C92-6780701B1CA2}" name="CÓDIGO CATÁLOGO" dataDxfId="191"/>
    <tableColumn id="2" xr3:uid="{11EC0E9F-BD22-45A2-A685-E2E3C4AC511E}" name="ARTÍCULO" dataDxfId="190"/>
    <tableColumn id="3" xr3:uid="{BF89A42E-2377-4118-A936-A2024AD38C69}" name="UNIDAD DE MEDIDA" dataDxfId="189"/>
    <tableColumn id="4" xr3:uid="{87FF77FA-0D99-4E33-A341-CD64D91ADF3D}" name="CANTIDAD TOTAL ESTIMADA" dataDxfId="188"/>
    <tableColumn id="5" xr3:uid="{3AB133AA-DADC-4D59-A4B7-3387ED74F41F}" name="PRECIO UNITARIO ESTIMADO" dataDxfId="187"/>
    <tableColumn id="6" xr3:uid="{E0FB0F10-5F34-4D12-8157-2DABC0F44C60}" name="MONTO TOTAL ESTIMADO" dataDxfId="186">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2C9F39A-0A51-4BE6-8C79-C93F4914D967}" name="Table12" displayName="Table12" ref="A256:F257" totalsRowShown="0" headerRowDxfId="177" dataDxfId="176">
  <tableColumns count="6">
    <tableColumn id="1" xr3:uid="{8A0951C7-C3D4-40C5-9C27-63DEAF11F2F8}" name="CÓDIGO CATÁLOGO" dataDxfId="183"/>
    <tableColumn id="2" xr3:uid="{FC31B180-BD5B-4EF2-AF8E-A635CE424EA4}" name="ARTÍCULO" dataDxfId="182">
      <calculatedColumnFormula>IFERROR(INDEX(UNSPSCDes,MATCH(INDIRECT(ADDRESS(ROW(),COLUMN()-1,4)),UNSPSCCode,0)),IF(INDIRECT(ADDRESS(ROW(),COLUMN()-1,4))="81112501","Servicio de licencias de programas informáticos",""))</calculatedColumnFormula>
    </tableColumn>
    <tableColumn id="3" xr3:uid="{45AAA8C5-625D-4124-B7BE-FD41ABE1400B}" name="UNIDAD DE MEDIDA" dataDxfId="181">
      <calculatedColumnFormula>IFERROR(VLOOKUP("UD",'[1]Informacion '!P:Q,2,FALSE),"")</calculatedColumnFormula>
    </tableColumn>
    <tableColumn id="4" xr3:uid="{A007BABD-404B-484E-B627-6B8A12C0A9F7}" name="CANTIDAD TOTAL ESTIMADA" dataDxfId="180"/>
    <tableColumn id="5" xr3:uid="{50CFB36B-6425-452F-8479-60A32F16F058}" name="PRECIO UNITARIO ESTIMADO" dataDxfId="179"/>
    <tableColumn id="6" xr3:uid="{48AB7098-F384-4DC8-92D3-9406C78FCB17}" name="MONTO TOTAL ESTIMADO" dataDxfId="178">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F97A994-FA97-42B4-BE3D-FD90D8E67C18}" name="Table31" displayName="Table31" ref="A542:F549" totalsRowShown="0" headerRowDxfId="169" dataDxfId="168">
  <tableColumns count="6">
    <tableColumn id="1" xr3:uid="{C9B1B401-2596-4BE5-ACC2-2360F4500B11}" name="CÓDIGO CATÁLOGO" dataDxfId="175"/>
    <tableColumn id="2" xr3:uid="{F608B366-8723-4381-9296-8570C6596FE2}" name="ARTÍCULO" dataDxfId="174"/>
    <tableColumn id="3" xr3:uid="{D5DC426A-5F7B-4147-998F-903394A261E6}" name="UNIDAD DE MEDIDA" dataDxfId="173"/>
    <tableColumn id="4" xr3:uid="{34C748A7-E147-4EDE-8BDD-AA14F12DB266}" name="CANTIDAD TOTAL ESTIMADA" dataDxfId="172"/>
    <tableColumn id="5" xr3:uid="{09363BA2-B5AD-4B00-B08B-C8D0BCED93DF}" name="PRECIO UNITARIO ESTIMADO" dataDxfId="171"/>
    <tableColumn id="6" xr3:uid="{CC971D90-C1D3-4E87-8904-FD06A8596C46}" name="MONTO TOTAL ESTIMADO" dataDxfId="170">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AF3E32A-4EF9-4ECB-8035-DE458025998A}" name="Table7" displayName="Table7" ref="A126:F138" totalsRowShown="0" headerRowDxfId="161" dataDxfId="160">
  <tableColumns count="6">
    <tableColumn id="1" xr3:uid="{18211F43-B1F0-4FD2-868D-44AB4A9AAD4C}" name="CÓDIGO CATÁLOGO" dataDxfId="167"/>
    <tableColumn id="2" xr3:uid="{F6A93CC1-A3F1-4D8B-A165-73161D05F8E4}" name="ARTÍCULO" dataDxfId="166"/>
    <tableColumn id="3" xr3:uid="{08B01D86-5593-44B6-9692-D97FE1D2CCCF}" name="UNIDAD DE MEDIDA" dataDxfId="165"/>
    <tableColumn id="4" xr3:uid="{D1076CE4-9ADA-4CA5-840B-042F56F34EE1}" name="CANTIDAD TOTAL ESTIMADA" dataDxfId="164"/>
    <tableColumn id="5" xr3:uid="{766F2645-CC14-4673-AF73-3E547C9D26C2}" name="PRECIO UNITARIO ESTIMADO" dataDxfId="163"/>
    <tableColumn id="6" xr3:uid="{00641B23-6F14-4927-A302-9FB9B469BEC7}" name="MONTO TOTAL ESTIMADO" dataDxfId="162">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9E93F61B-8F7A-4388-8C3B-1914F4A72E0F}" name="Table34" displayName="Table34" ref="A610:F626" totalsRowShown="0" headerRowDxfId="153" dataDxfId="152">
  <tableColumns count="6">
    <tableColumn id="1" xr3:uid="{75235FDC-64B9-461A-B47B-0FC12E170F0F}" name="CÓDIGO CATÁLOGO" dataDxfId="159"/>
    <tableColumn id="2" xr3:uid="{B01FBC18-578B-4930-83DD-B9867EFA38D4}" name="ARTÍCULO" dataDxfId="158"/>
    <tableColumn id="3" xr3:uid="{F5E4428C-AA76-4B2E-90FC-F057F3CA1FEA}" name="UNIDAD DE MEDIDA" dataDxfId="157"/>
    <tableColumn id="4" xr3:uid="{7CF9BA72-B098-4B86-9801-063F756D20A2}" name="CANTIDAD TOTAL ESTIMADA" dataDxfId="156"/>
    <tableColumn id="5" xr3:uid="{1295BB0D-B9E1-4AF5-95FA-F2DB30597719}" name="PRECIO UNITARIO ESTIMADO" dataDxfId="155"/>
    <tableColumn id="6" xr3:uid="{1ACA3B57-6CEA-405F-9811-73F0A8AD3532}" name="MONTO TOTAL ESTIMADO" dataDxfId="154">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FE832EC-6CC5-40C9-AA93-15CFE1E80F57}" name="Table46" displayName="Table46" ref="A908:F918" totalsRowShown="0" headerRowDxfId="145" dataDxfId="144">
  <tableColumns count="6">
    <tableColumn id="1" xr3:uid="{967AB30D-E5E0-4EF8-BF47-867AA5405AFA}" name="CÓDIGO CATÁLOGO" dataDxfId="151"/>
    <tableColumn id="2" xr3:uid="{CD918331-360F-40FD-903B-A67E7B20D863}" name="ARTÍCULO" dataDxfId="150"/>
    <tableColumn id="3" xr3:uid="{5DA8345F-7940-4EDE-BBA1-594CFB38179D}" name="UNIDAD DE MEDIDA" dataDxfId="149"/>
    <tableColumn id="4" xr3:uid="{2BE8AF77-0BEB-49DC-9616-6874E14EB906}" name="CANTIDAD TOTAL ESTIMADA" dataDxfId="148"/>
    <tableColumn id="5" xr3:uid="{8624740A-5266-49A2-8137-58054D2BECC0}" name="PRECIO UNITARIO ESTIMADO" dataDxfId="147"/>
    <tableColumn id="6" xr3:uid="{3B229FA5-206A-413F-98A6-BB73FBBD2AD9}" name="MONTO TOTAL ESTIMADO" dataDxfId="146">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0E719EE-DB9F-4A92-BD8B-4D8608D81FAB}" name="Table52" displayName="Table52" ref="A1037:F1041" totalsRowShown="0" headerRowDxfId="497" dataDxfId="496">
  <tableColumns count="6">
    <tableColumn id="1" xr3:uid="{0BB00025-9141-4BB5-8128-8DDCB0F24C12}" name="CÓDIGO CATÁLOGO" dataDxfId="503"/>
    <tableColumn id="2" xr3:uid="{48DA2B5A-0EB6-4477-82A5-582DB0B80065}" name="ARTÍCULO" dataDxfId="502">
      <calculatedColumnFormula>IFERROR(INDEX(UNSPSCDes,MATCH(INDIRECT(ADDRESS(ROW(),COLUMN()-1,4)),UNSPSCCode,0)),IF(INDIRECT(ADDRESS(ROW(),COLUMN()-1,4))="31201515","Cintas de papel",""))</calculatedColumnFormula>
    </tableColumn>
    <tableColumn id="3" xr3:uid="{8F487C78-C989-4BFA-8C5D-E85BBDDC0769}" name="UNIDAD DE MEDIDA" dataDxfId="501">
      <calculatedColumnFormula>IFERROR(VLOOKUP("UD",'[1]Informacion '!P:Q,2,FALSE),"")</calculatedColumnFormula>
    </tableColumn>
    <tableColumn id="4" xr3:uid="{914EE27F-1372-4365-A628-3D3045D613F6}" name="CANTIDAD TOTAL ESTIMADA" dataDxfId="500"/>
    <tableColumn id="5" xr3:uid="{83641A9A-E2FE-4DC7-8C64-2530D0A7900B}" name="PRECIO UNITARIO ESTIMADO" dataDxfId="499"/>
    <tableColumn id="6" xr3:uid="{9DDC03C9-BA68-4105-80BE-FEFE2460CEB3}" name="MONTO TOTAL ESTIMADO" dataDxfId="498">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D579ABE-B884-4754-AD5C-A419EA5EC27B}" name="Table62" displayName="Table62" ref="A1292:F1303" totalsRowShown="0" headerRowDxfId="137" dataDxfId="136">
  <tableColumns count="6">
    <tableColumn id="1" xr3:uid="{197D3FC2-6C79-4916-93D3-798F77B5D2BC}" name="CÓDIGO CATÁLOGO" dataDxfId="143"/>
    <tableColumn id="2" xr3:uid="{C64CBF44-752A-4E26-B4AD-433BD7223EA3}" name="ARTÍCULO" dataDxfId="142"/>
    <tableColumn id="3" xr3:uid="{BD38277A-6363-4CD2-A5E0-FC1CC515753F}" name="UNIDAD DE MEDIDA" dataDxfId="141">
      <calculatedColumnFormula>IFERROR(VLOOKUP("UD",'[1]Informacion '!P:Q,2,FALSE),"")</calculatedColumnFormula>
    </tableColumn>
    <tableColumn id="4" xr3:uid="{E05D69D7-1066-4382-8C3D-DFF574BF05FA}" name="CANTIDAD TOTAL ESTIMADA" dataDxfId="140"/>
    <tableColumn id="5" xr3:uid="{C155F770-F702-4F8E-B05D-99D43B3B83C6}" name="PRECIO UNITARIO ESTIMADO" dataDxfId="139"/>
    <tableColumn id="6" xr3:uid="{59182A56-820A-4DFD-9B8F-23BE74A97308}" name="MONTO TOTAL ESTIMADO" dataDxfId="138">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6B19A33-F212-44DA-9E4F-08F6EEBA0E1B}" name="Table9" displayName="Table9" ref="A181:F200" totalsRowShown="0" headerRowDxfId="129" dataDxfId="128">
  <tableColumns count="6">
    <tableColumn id="1" xr3:uid="{043E438B-7840-4531-BB16-816352FC88B1}" name="CÓDIGO CATÁLOGO" dataDxfId="135"/>
    <tableColumn id="2" xr3:uid="{028FAEEC-B008-47F9-A44F-AC7C85E90E89}" name="ARTÍCULO" dataDxfId="134"/>
    <tableColumn id="3" xr3:uid="{B153E593-2505-4F5D-90A2-DBB81C16F331}" name="UNIDAD DE MEDIDA" dataDxfId="133"/>
    <tableColumn id="4" xr3:uid="{5916C49D-637C-4603-A8E4-9868C054D3DC}" name="CANTIDAD TOTAL ESTIMADA" dataDxfId="132"/>
    <tableColumn id="5" xr3:uid="{0D900F69-F6D4-46F7-A459-EDF3E948D883}" name="PRECIO UNITARIO ESTIMADO" dataDxfId="131"/>
    <tableColumn id="6" xr3:uid="{F8A1EBC3-2340-4CD4-95F9-BD94A6BFDD7C}" name="MONTO TOTAL ESTIMADO" dataDxfId="130">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4D38DA4A-43E4-4446-A67A-566357491DB6}" name="Table24" displayName="Table24" ref="A441:F449" totalsRowShown="0" headerRowDxfId="121" dataDxfId="120">
  <tableColumns count="6">
    <tableColumn id="1" xr3:uid="{9348A1F9-86F4-4A24-BE28-D6C901155A11}" name="CÓDIGO CATÁLOGO" dataDxfId="127"/>
    <tableColumn id="2" xr3:uid="{10BE5A92-A471-480E-8C27-D1CF4863554B}" name="ARTÍCULO" dataDxfId="126"/>
    <tableColumn id="3" xr3:uid="{8D1C5382-6B69-4E22-B9C9-C0C0D7A1FF68}" name="UNIDAD DE MEDIDA" dataDxfId="125"/>
    <tableColumn id="4" xr3:uid="{ADC33514-08C5-4078-A390-279CB5BDB8D6}" name="CANTIDAD TOTAL ESTIMADA" dataDxfId="124"/>
    <tableColumn id="5" xr3:uid="{F846F5D9-EA08-4568-94C7-769896DB05C8}" name="PRECIO UNITARIO ESTIMADO" dataDxfId="123"/>
    <tableColumn id="6" xr3:uid="{CF81E519-AB1A-4FCF-ABBB-6481CDBD90DB}" name="MONTO TOTAL ESTIMADO" dataDxfId="122">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D8799F2-DA03-4049-897E-9210EF53570C}" name="Table40" displayName="Table40" ref="A772:F785" totalsRowShown="0" headerRowDxfId="113" dataDxfId="112">
  <tableColumns count="6">
    <tableColumn id="1" xr3:uid="{7CEB6B5B-5773-4F30-A536-F03680253388}" name="CÓDIGO CATÁLOGO" dataDxfId="119"/>
    <tableColumn id="2" xr3:uid="{726595DA-620B-4EA5-977F-F7732F6A9704}" name="ARTÍCULO" dataDxfId="118"/>
    <tableColumn id="3" xr3:uid="{3D1ACA8B-4FB0-4098-BAB1-0EDB81BA8EEB}" name="UNIDAD DE MEDIDA" dataDxfId="117"/>
    <tableColumn id="4" xr3:uid="{15D6939C-DACF-4F9F-A061-29EEA8778179}" name="CANTIDAD TOTAL ESTIMADA" dataDxfId="116"/>
    <tableColumn id="5" xr3:uid="{4DF02644-38C1-45AC-A77A-C2E9F310DFA3}" name="PRECIO UNITARIO ESTIMADO" dataDxfId="115"/>
    <tableColumn id="6" xr3:uid="{43ACCFCF-C9D7-4A77-913B-0B47CA4C05C5}" name="MONTO TOTAL ESTIMADO" dataDxfId="114">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476D774-77AA-42FC-B7D5-93D39330DEE7}" name="Table61" displayName="Table61" ref="A1268:F1282" totalsRowShown="0" headerRowDxfId="105" dataDxfId="104">
  <tableColumns count="6">
    <tableColumn id="1" xr3:uid="{9CDE2EC6-5428-4131-95B5-AA67470FC3AC}" name="CÓDIGO CATÁLOGO" dataDxfId="111"/>
    <tableColumn id="2" xr3:uid="{6C13BD6B-27E6-409D-9650-3362E9EA608B}" name="ARTÍCULO" dataDxfId="110"/>
    <tableColumn id="3" xr3:uid="{CB7313EE-5B07-4559-A748-D846C942C3FD}" name="UNIDAD DE MEDIDA" dataDxfId="109">
      <calculatedColumnFormula>IFERROR(VLOOKUP("UD",'[1]Informacion '!P:Q,2,FALSE),"")</calculatedColumnFormula>
    </tableColumn>
    <tableColumn id="4" xr3:uid="{25EE0DE1-0EC4-4F09-A285-C49FFCAC57B7}" name="CANTIDAD TOTAL ESTIMADA" dataDxfId="108"/>
    <tableColumn id="5" xr3:uid="{EB653CD0-4FFF-4D6A-860D-2E9D0937063E}" name="PRECIO UNITARIO ESTIMADO" dataDxfId="107"/>
    <tableColumn id="6" xr3:uid="{C54C980F-0616-4C6A-8386-6D1B427A4FD7}" name="MONTO TOTAL ESTIMADO" dataDxfId="106">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FA950845-BE7E-421C-810C-FF73661E5F6E}" name="Table5" displayName="Table5" ref="A73:F78" totalsRowShown="0" headerRowDxfId="97" dataDxfId="96">
  <tableColumns count="6">
    <tableColumn id="1" xr3:uid="{F4A7DBD8-1FF6-48D1-8A7A-81FB22F4FD2C}" name="CÓDIGO CATÁLOGO" dataDxfId="103"/>
    <tableColumn id="2" xr3:uid="{657AEA58-6B0E-4458-8565-9EB9CFD85867}" name="ARTÍCULO" dataDxfId="102"/>
    <tableColumn id="3" xr3:uid="{5BE075A7-189D-47C1-B2DC-6C06C6116EFD}" name="UNIDAD DE MEDIDA" dataDxfId="101">
      <calculatedColumnFormula>IFERROR(VLOOKUP("LB",'[1]Informacion '!P:Q,2,FALSE),"")</calculatedColumnFormula>
    </tableColumn>
    <tableColumn id="4" xr3:uid="{7968C03A-8132-49A5-BA17-1965685040C6}" name="CANTIDAD TOTAL ESTIMADA" dataDxfId="100"/>
    <tableColumn id="5" xr3:uid="{A25D0416-11AA-4111-9F45-276D5AC68F1F}" name="PRECIO UNITARIO ESTIMADO" dataDxfId="99"/>
    <tableColumn id="6" xr3:uid="{CF0EF5DD-81D6-4ADE-A773-DC083B4B5C9E}" name="MONTO TOTAL ESTIMADO" dataDxfId="98">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C898EE3-8D12-4ABC-91C2-8984F961BD5D}" name="Table54" displayName="Table54" ref="A1063:F1104" totalsRowShown="0" headerRowDxfId="89" dataDxfId="88">
  <tableColumns count="6">
    <tableColumn id="1" xr3:uid="{9484BECD-762A-4F3D-BE2E-EB98C115EB93}" name="CÓDIGO CATÁLOGO" dataDxfId="95"/>
    <tableColumn id="2" xr3:uid="{F2B14847-23AE-4325-9CC2-FB090FB1874C}" name="ARTÍCULO" dataDxfId="94"/>
    <tableColumn id="3" xr3:uid="{3080E1D4-DB99-46C4-A641-02A1A4F0634A}" name="UNIDAD DE MEDIDA" dataDxfId="93"/>
    <tableColumn id="4" xr3:uid="{0AAAABBC-C4A0-4152-8987-8ED28068E263}" name="CANTIDAD TOTAL ESTIMADA" dataDxfId="92"/>
    <tableColumn id="5" xr3:uid="{CF73DE71-858F-4326-858C-3B3ED6C6C232}" name="PRECIO UNITARIO ESTIMADO" dataDxfId="91"/>
    <tableColumn id="6" xr3:uid="{84923D84-59A6-4658-8102-B0867B830490}" name="MONTO TOTAL ESTIMADO" dataDxfId="90">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7B912CF-CEBA-4C56-90E9-1FFE41292652}" name="Table65" displayName="Table65" ref="A1370:F1375" totalsRowShown="0" headerRowDxfId="81" dataDxfId="80">
  <tableColumns count="6">
    <tableColumn id="1" xr3:uid="{FD981A8D-D5EC-4F27-A3F6-F4E6210F1248}" name="CÓDIGO CATÁLOGO" dataDxfId="87"/>
    <tableColumn id="2" xr3:uid="{11FA6ED3-EC5F-4681-A7DD-4045F678A8A3}" name="ARTÍCULO" dataDxfId="86"/>
    <tableColumn id="3" xr3:uid="{396F719C-5326-4C20-9495-64A97E576E99}" name="UNIDAD DE MEDIDA" dataDxfId="85">
      <calculatedColumnFormula>IFERROR(VLOOKUP("LB",'[1]Informacion '!P:Q,2,FALSE),"")</calculatedColumnFormula>
    </tableColumn>
    <tableColumn id="4" xr3:uid="{3800FA69-F020-4BA8-8D67-FAB202A0FFF9}" name="CANTIDAD TOTAL ESTIMADA" dataDxfId="84"/>
    <tableColumn id="5" xr3:uid="{839493EF-F6FE-4E35-8EFA-5D75CB082E43}" name="PRECIO UNITARIO ESTIMADO" dataDxfId="83"/>
    <tableColumn id="6" xr3:uid="{110DF42A-EE69-44E8-906C-4A6CDAE83CDB}" name="MONTO TOTAL ESTIMADO" dataDxfId="82">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4E437B1-5755-482B-BE20-873ECF650D1F}" name="Table14" displayName="Table14" ref="A297:F298" totalsRowShown="0" headerRowDxfId="73" dataDxfId="72">
  <tableColumns count="6">
    <tableColumn id="1" xr3:uid="{D144680E-F7BD-4275-A2AF-516598B45DD4}" name="CÓDIGO CATÁLOGO" dataDxfId="79"/>
    <tableColumn id="2" xr3:uid="{57AEAC4E-9BC4-4EB5-857C-6842F95B9C11}" name="ARTÍCULO" dataDxfId="78">
      <calculatedColumnFormula>IFERROR(INDEX(UNSPSCDes,MATCH(INDIRECT(ADDRESS(ROW(),COLUMN()-1,4)),UNSPSCCode,0)),IF(INDIRECT(ADDRESS(ROW(),COLUMN()-1,4))="15111510","Gas licuado de petróleo",""))</calculatedColumnFormula>
    </tableColumn>
    <tableColumn id="3" xr3:uid="{092C975F-13F3-4966-8A81-E7779127F433}" name="UNIDAD DE MEDIDA" dataDxfId="77">
      <calculatedColumnFormula>IFERROR(VLOOKUP("GAL",'[1]Informacion '!P:Q,2,FALSE),"")</calculatedColumnFormula>
    </tableColumn>
    <tableColumn id="4" xr3:uid="{990EF5DD-DDC8-43C1-8E81-E886CB3C7118}" name="CANTIDAD TOTAL ESTIMADA" dataDxfId="76"/>
    <tableColumn id="5" xr3:uid="{718B0B87-F0EE-4B06-9402-1A10904ED0F6}" name="PRECIO UNITARIO ESTIMADO" dataDxfId="75"/>
    <tableColumn id="6" xr3:uid="{E901A1DD-6221-45D7-B7E2-61FEDAF6D65E}" name="MONTO TOTAL ESTIMADO" dataDxfId="74">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9886DC9-E179-4667-AB46-A0E6CDB276C2}" name="Table55" displayName="Table55" ref="A1114:F1119" totalsRowShown="0" headerRowDxfId="65" dataDxfId="64">
  <tableColumns count="6">
    <tableColumn id="1" xr3:uid="{CEF93CDD-524B-4312-AD22-982BFF3F1CB2}" name="CÓDIGO CATÁLOGO" dataDxfId="71"/>
    <tableColumn id="2" xr3:uid="{BE5B8EC6-EAE5-4918-A073-9C64FCF2216A}" name="ARTÍCULO" dataDxfId="70"/>
    <tableColumn id="3" xr3:uid="{88D7EFA5-0015-4347-B72B-D2B48F3297B9}" name="UNIDAD DE MEDIDA" dataDxfId="69">
      <calculatedColumnFormula>IFERROR(VLOOKUP("LB",'[1]Informacion '!P:Q,2,FALSE),"")</calculatedColumnFormula>
    </tableColumn>
    <tableColumn id="4" xr3:uid="{3C276E88-326E-443C-A2C1-5E174DEE1DAB}" name="CANTIDAD TOTAL ESTIMADA" dataDxfId="68"/>
    <tableColumn id="5" xr3:uid="{A2A577B1-7F09-4D26-BA1B-4B7595F8B181}" name="PRECIO UNITARIO ESTIMADO" dataDxfId="67"/>
    <tableColumn id="6" xr3:uid="{B373EE1D-FA49-4B88-BBF7-4F2B306DAC1E}" name="MONTO TOTAL ESTIMADO" dataDxfId="66">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CDB2547-443A-4FB0-979C-5D0984683725}" name="Table59" displayName="Table59" ref="A1227:F1228" totalsRowShown="0" headerRowDxfId="489" dataDxfId="488">
  <tableColumns count="6">
    <tableColumn id="1" xr3:uid="{11CA3915-94F2-40DE-8311-66BE9966F8B3}" name="CÓDIGO CATÁLOGO" dataDxfId="495"/>
    <tableColumn id="2" xr3:uid="{1B51F15A-1B42-431F-82B0-C0A008D4B166}" name="ARTÍCULO" dataDxfId="494">
      <calculatedColumnFormula>IFERROR(INDEX(UNSPSCDes,MATCH(INDIRECT(ADDRESS(ROW(),COLUMN()-1,4)),UNSPSCCode,0)),IF(INDIRECT(ADDRESS(ROW(),COLUMN()-1,4))="10121505","Heno",""))</calculatedColumnFormula>
    </tableColumn>
    <tableColumn id="3" xr3:uid="{E76C2EA3-D465-42D5-8DC4-A299F4A9736F}" name="UNIDAD DE MEDIDA" dataDxfId="493">
      <calculatedColumnFormula>IFERROR(VLOOKUP("UD",'[1]Informacion '!P:Q,2,FALSE),"")</calculatedColumnFormula>
    </tableColumn>
    <tableColumn id="4" xr3:uid="{EBE4BF3B-2B64-4ED3-8391-621D21478008}" name="CANTIDAD TOTAL ESTIMADA" dataDxfId="492"/>
    <tableColumn id="5" xr3:uid="{38A9CC0E-1AFF-4339-8A00-F6A46B959A2F}" name="PRECIO UNITARIO ESTIMADO" dataDxfId="491"/>
    <tableColumn id="6" xr3:uid="{81A2F7C3-8FBD-4877-9E4E-E3A388C10F30}" name="MONTO TOTAL ESTIMADO" dataDxfId="490">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8375945-D3C3-40E4-97A7-99DF995B08CD}" name="Table60" displayName="Table60" ref="A1238:F1258" totalsRowShown="0" headerRowDxfId="57" dataDxfId="56">
  <tableColumns count="6">
    <tableColumn id="1" xr3:uid="{8D6F1583-3FB0-4742-B07E-99B3E3B3CB54}" name="CÓDIGO CATÁLOGO" dataDxfId="63"/>
    <tableColumn id="2" xr3:uid="{E57408A5-6E6D-4F73-960C-33D79C825066}" name="ARTÍCULO" dataDxfId="62"/>
    <tableColumn id="3" xr3:uid="{A776C6B4-8CAB-472F-BB91-5A51836FD306}" name="UNIDAD DE MEDIDA" dataDxfId="61"/>
    <tableColumn id="4" xr3:uid="{5EBC618E-0166-4F27-9BB9-6A9F958DEA18}" name="CANTIDAD TOTAL ESTIMADA" dataDxfId="60"/>
    <tableColumn id="5" xr3:uid="{1AC19662-7AEE-402D-87C8-351B135690F1}" name="PRECIO UNITARIO ESTIMADO" dataDxfId="59"/>
    <tableColumn id="6" xr3:uid="{A74A41BF-5E5A-4E84-A0CA-F42C3ED89023}" name="MONTO TOTAL ESTIMADO" dataDxfId="58">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C7D0559-FD0E-4F78-9280-608C484912B0}" name="Table66" displayName="Table66" ref="A1385:F1410" totalsRowShown="0" headerRowDxfId="49" dataDxfId="48">
  <tableColumns count="6">
    <tableColumn id="1" xr3:uid="{7A78AE9C-F925-424B-892E-BE37D8A4BD4D}" name="CÓDIGO CATÁLOGO" dataDxfId="55"/>
    <tableColumn id="2" xr3:uid="{AD7EE93D-E4BE-41E9-919E-019720D0E347}" name="ARTÍCULO" dataDxfId="54"/>
    <tableColumn id="3" xr3:uid="{A248EA62-785F-4CEF-9566-4516B02BBADC}" name="UNIDAD DE MEDIDA" dataDxfId="53"/>
    <tableColumn id="4" xr3:uid="{F6FC31F5-D19E-4811-A09C-36B4ABCEE953}" name="CANTIDAD TOTAL ESTIMADA" dataDxfId="52"/>
    <tableColumn id="5" xr3:uid="{AF0DE1FF-ABD0-4E76-83F1-A26E5D6DAC5E}" name="PRECIO UNITARIO ESTIMADO" dataDxfId="51"/>
    <tableColumn id="6" xr3:uid="{097D12A2-2192-4498-9227-964832898774}" name="MONTO TOTAL ESTIMADO" dataDxfId="50">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2A62637-5BD8-4E16-9DC6-6BD2806BB53D}" name="Table38" displayName="Table38" ref="A721:F743" totalsRowShown="0" headerRowDxfId="41" dataDxfId="40">
  <tableColumns count="6">
    <tableColumn id="1" xr3:uid="{FE962DAE-6C80-4A02-B485-FBB2AEEB00F8}" name="CÓDIGO CATÁLOGO" dataDxfId="47"/>
    <tableColumn id="2" xr3:uid="{BEDB5143-0713-442F-946B-EFC0BF111721}" name="ARTÍCULO" dataDxfId="46"/>
    <tableColumn id="3" xr3:uid="{89EC1459-3078-499F-B430-CFC965766BE2}" name="UNIDAD DE MEDIDA" dataDxfId="45"/>
    <tableColumn id="4" xr3:uid="{6932BB60-E320-4D7A-B250-C799F04C9F9C}" name="CANTIDAD TOTAL ESTIMADA" dataDxfId="44"/>
    <tableColumn id="5" xr3:uid="{3AF8D9DC-16CC-4CF2-A8FC-96780DE6AB4B}" name="PRECIO UNITARIO ESTIMADO" dataDxfId="43"/>
    <tableColumn id="6" xr3:uid="{647BA1B5-87F4-49FB-872B-E4D88E941C95}" name="MONTO TOTAL ESTIMADO" dataDxfId="42">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3D99A8DC-2F67-4721-B67A-C255EBD629D3}" name="Table27" displayName="Table27" ref="A481:F483" totalsRowShown="0" headerRowDxfId="33" dataDxfId="32">
  <tableColumns count="6">
    <tableColumn id="1" xr3:uid="{D96A78ED-A589-4FE2-859B-41C0E7CACF92}" name="CÓDIGO CATÁLOGO" dataDxfId="39"/>
    <tableColumn id="2" xr3:uid="{FF7B0D90-773D-4F85-A26F-984384365EF0}" name="ARTÍCULO" dataDxfId="38"/>
    <tableColumn id="3" xr3:uid="{D960FC05-E0F3-40EC-B93A-F096459E0499}" name="UNIDAD DE MEDIDA" dataDxfId="37">
      <calculatedColumnFormula>IFERROR(VLOOKUP("UD",'[1]Informacion '!P:Q,2,FALSE),"")</calculatedColumnFormula>
    </tableColumn>
    <tableColumn id="4" xr3:uid="{7E2D94DA-92C7-4C22-9475-0D43F5A51B09}" name="CANTIDAD TOTAL ESTIMADA" dataDxfId="36"/>
    <tableColumn id="5" xr3:uid="{D9939A04-4B48-4BE2-AC67-A53BD7DCC299}" name="PRECIO UNITARIO ESTIMADO" dataDxfId="35"/>
    <tableColumn id="6" xr3:uid="{96AACEBF-7A0E-44DE-83E5-5FEB5A59AFA0}" name="MONTO TOTAL ESTIMADO" dataDxfId="34">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E2B5719B-1604-4A33-A3C1-3E38047BC4E3}" name="Table36" displayName="Table36" ref="A692:F696" totalsRowShown="0" headerRowDxfId="25" dataDxfId="24">
  <tableColumns count="6">
    <tableColumn id="1" xr3:uid="{3493C67F-44CD-4580-9305-4554F73F9F7A}" name="CÓDIGO CATÁLOGO" dataDxfId="31"/>
    <tableColumn id="2" xr3:uid="{E649028A-B5E9-4C00-9E3C-42762081F4C3}" name="ARTÍCULO" dataDxfId="30"/>
    <tableColumn id="3" xr3:uid="{836AC4CA-59B0-47D3-BA10-A581464752DC}" name="UNIDAD DE MEDIDA" dataDxfId="29">
      <calculatedColumnFormula>IFERROR(VLOOKUP("UD",'[1]Informacion '!P:Q,2,FALSE),"")</calculatedColumnFormula>
    </tableColumn>
    <tableColumn id="4" xr3:uid="{2AC700F1-2C4A-4656-A609-0985C2EC4540}" name="CANTIDAD TOTAL ESTIMADA" dataDxfId="28"/>
    <tableColumn id="5" xr3:uid="{E4AE4FC3-6094-4947-9EF9-DA55600ACD19}" name="PRECIO UNITARIO ESTIMADO" dataDxfId="27"/>
    <tableColumn id="6" xr3:uid="{732F1549-ED06-4E3C-9D3E-463714DAACDE}" name="MONTO TOTAL ESTIMADO" dataDxfId="26">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E79ACB9-C196-463B-9C82-9B0926B66B1B}" name="Table44" displayName="Table44" ref="A871:F883" totalsRowShown="0" headerRowDxfId="17" dataDxfId="16">
  <tableColumns count="6">
    <tableColumn id="1" xr3:uid="{DD8B7C3C-90AC-4EB1-A842-D7EFA8570D19}" name="CÓDIGO CATÁLOGO" dataDxfId="23"/>
    <tableColumn id="2" xr3:uid="{14D365A3-28E2-4EAB-B3A7-6DBC2453DB69}" name="ARTÍCULO" dataDxfId="22"/>
    <tableColumn id="3" xr3:uid="{D5D0A483-6E36-4166-B78C-5ED85187FEDC}" name="UNIDAD DE MEDIDA" dataDxfId="21"/>
    <tableColumn id="4" xr3:uid="{1EB73DEE-1E37-462F-92BB-487986CE36E6}" name="CANTIDAD TOTAL ESTIMADA" dataDxfId="20"/>
    <tableColumn id="5" xr3:uid="{C4349910-B5BD-4D1C-AAE8-BAAFDBF3601A}" name="PRECIO UNITARIO ESTIMADO" dataDxfId="19"/>
    <tableColumn id="6" xr3:uid="{0C4655E5-FD91-4E2B-8F7E-F524E1AF0A39}" name="MONTO TOTAL ESTIMADO" dataDxfId="18">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61DEC76-4867-4CE8-B077-29D83D58ACAC}" name="Table22" displayName="Table22" ref="A417:F420" totalsRowShown="0" headerRowDxfId="9" dataDxfId="8">
  <tableColumns count="6">
    <tableColumn id="1" xr3:uid="{EF4E614A-93F9-4370-A30A-B4E89FCC1E4C}" name="CÓDIGO CATÁLOGO" dataDxfId="15"/>
    <tableColumn id="2" xr3:uid="{BB4787A3-47BB-4A38-B100-D996F73C7772}" name="ARTÍCULO" dataDxfId="14"/>
    <tableColumn id="3" xr3:uid="{7B97DA94-2804-4457-B214-BBB79CC3E444}" name="UNIDAD DE MEDIDA" dataDxfId="13">
      <calculatedColumnFormula>IFERROR(VLOOKUP("UD",'[1]Informacion '!P:Q,2,FALSE),"")</calculatedColumnFormula>
    </tableColumn>
    <tableColumn id="4" xr3:uid="{615AAC19-717F-423B-BCD3-52DE260EBA52}" name="CANTIDAD TOTAL ESTIMADA" dataDxfId="12"/>
    <tableColumn id="5" xr3:uid="{A5F4AAB2-3E31-4DE9-9E96-A96727909591}" name="PRECIO UNITARIO ESTIMADO" dataDxfId="11"/>
    <tableColumn id="6" xr3:uid="{CCE66B0E-5A64-4D9C-8486-04E5F4B4D7D3}" name="MONTO TOTAL ESTIMADO" dataDxfId="10">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BD82C67-BAC3-4FD4-863C-901E7B73FE42}" name="Table41" displayName="Table41" ref="A795:F814" totalsRowShown="0" headerRowDxfId="1" dataDxfId="0">
  <tableColumns count="6">
    <tableColumn id="1" xr3:uid="{8C505DEE-AA2F-487E-87E1-84A530C244D6}" name="CÓDIGO CATÁLOGO" dataDxfId="7"/>
    <tableColumn id="2" xr3:uid="{123B0BA7-F210-4A2E-A74E-953F33AE6C11}" name="ARTÍCULO" dataDxfId="6"/>
    <tableColumn id="3" xr3:uid="{28D12074-2920-4CB6-8E1B-9F4F67F6B16E}" name="UNIDAD DE MEDIDA" dataDxfId="5"/>
    <tableColumn id="4" xr3:uid="{9D10CF58-C260-46AF-A6C0-65F52118E457}" name="CANTIDAD TOTAL ESTIMADA" dataDxfId="4"/>
    <tableColumn id="5" xr3:uid="{1CCE02A4-BDC2-45F0-8CEE-8746642D702B}" name="PRECIO UNITARIO ESTIMADO" dataDxfId="3"/>
    <tableColumn id="6" xr3:uid="{D7AF10EE-8AD7-400C-BE39-D7B07AC58574}" name="MONTO TOTAL ESTIMADO" dataDxfId="2">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DF8DDF-F115-42B6-8189-8DE1C27F2007}" name="Table32" displayName="Table32" ref="A559:F572" totalsRowShown="0" headerRowDxfId="481" dataDxfId="480">
  <tableColumns count="6">
    <tableColumn id="1" xr3:uid="{8329086D-48B8-4C9D-A2FC-A8652AC0B07F}" name="CÓDIGO CATÁLOGO" dataDxfId="487"/>
    <tableColumn id="2" xr3:uid="{F274DD66-03D4-4A94-8CD7-5A42C6F138D4}" name="ARTÍCULO" dataDxfId="486"/>
    <tableColumn id="3" xr3:uid="{CBF0CB7E-5EFA-422B-A6C4-BEFA3EAFE2D1}" name="UNIDAD DE MEDIDA" dataDxfId="485"/>
    <tableColumn id="4" xr3:uid="{9F598D23-209D-413E-BD99-61DDBF3919D8}" name="CANTIDAD TOTAL ESTIMADA" dataDxfId="484"/>
    <tableColumn id="5" xr3:uid="{4B1F8DB9-E5F8-49C6-85D3-57E938D2110A}" name="PRECIO UNITARIO ESTIMADO" dataDxfId="483"/>
    <tableColumn id="6" xr3:uid="{6CC09022-13D4-4015-B395-BE11D884927A}" name="MONTO TOTAL ESTIMADO" dataDxfId="482">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0F1268-B14D-42D4-A694-E88E5D80B929}" name="Table17" displayName="Table17" ref="A330:F331" totalsRowShown="0" headerRowDxfId="473" dataDxfId="472">
  <tableColumns count="6">
    <tableColumn id="1" xr3:uid="{38FC8C04-1B8A-4FA3-BA66-1EABEC4FF764}" name="CÓDIGO CATÁLOGO" dataDxfId="479"/>
    <tableColumn id="2" xr3:uid="{8B91C1FC-7347-4992-AA18-69D1D4FE5183}" name="ARTÍCULO" dataDxfId="478">
      <calculatedColumnFormula>IFERROR(INDEX(UNSPSCDes,MATCH(INDIRECT(ADDRESS(ROW(),COLUMN()-1,4)),UNSPSCCode,0)),IF(INDIRECT(ADDRESS(ROW(),COLUMN()-1,4))="70122001","Nutrición animal",""))</calculatedColumnFormula>
    </tableColumn>
    <tableColumn id="3" xr3:uid="{4C08BBBF-23B9-4D58-9F10-CE9845BD60A4}" name="UNIDAD DE MEDIDA" dataDxfId="477">
      <calculatedColumnFormula>IFERROR(VLOOKUP("MES",'[1]Informacion '!P:Q,2,FALSE),"")</calculatedColumnFormula>
    </tableColumn>
    <tableColumn id="4" xr3:uid="{255387B2-33E8-45C3-AE46-3887E9A7753D}" name="CANTIDAD TOTAL ESTIMADA" dataDxfId="476"/>
    <tableColumn id="5" xr3:uid="{238C0B0A-A022-4D12-A578-164A865E76A4}" name="PRECIO UNITARIO ESTIMADO" dataDxfId="475"/>
    <tableColumn id="6" xr3:uid="{9951AB00-7ACD-4FE8-B9EA-CE917957B9A7}" name="MONTO TOTAL ESTIMADO" dataDxfId="474">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7124841-0196-488F-80C4-5809E47BF3F1}" name="Table48" displayName="Table48" ref="A988:F989" totalsRowShown="0" headerRowDxfId="465" dataDxfId="464">
  <tableColumns count="6">
    <tableColumn id="1" xr3:uid="{9641B311-3FC4-482B-A663-5E9ECCF3F128}" name="CÓDIGO CATÁLOGO" dataDxfId="471"/>
    <tableColumn id="2" xr3:uid="{88AEFBB8-E96E-4E54-9829-151CF5DC6C2F}" name="ARTÍCULO" dataDxfId="470">
      <calculatedColumnFormula>IFERROR(INDEX(UNSPSCDes,MATCH(INDIRECT(ADDRESS(ROW(),COLUMN()-1,4)),UNSPSCCode,0)),IF(INDIRECT(ADDRESS(ROW(),COLUMN()-1,4))="72101701","Servicios de hormigón o estuco para exteriores",""))</calculatedColumnFormula>
    </tableColumn>
    <tableColumn id="3" xr3:uid="{048D9501-B2C3-4906-84DF-EE36BDF17D8A}" name="UNIDAD DE MEDIDA" dataDxfId="469">
      <calculatedColumnFormula>IFERROR(VLOOKUP("UD",'[1]Informacion '!P:Q,2,FALSE),"")</calculatedColumnFormula>
    </tableColumn>
    <tableColumn id="4" xr3:uid="{BC8891B9-74F6-4815-B78B-30B970CF7EA2}" name="CANTIDAD TOTAL ESTIMADA" dataDxfId="468"/>
    <tableColumn id="5" xr3:uid="{B2F27014-F7A8-4DC6-BB90-E9DF8083CE7F}" name="PRECIO UNITARIO ESTIMADO" dataDxfId="467"/>
    <tableColumn id="6" xr3:uid="{3D9F13C3-085A-458E-AB65-75B64C0CB2B6}" name="MONTO TOTAL ESTIMADO" dataDxfId="466">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7" Type="http://schemas.openxmlformats.org/officeDocument/2006/relationships/table" Target="../tables/table4.xml"/><Relationship Id="rId71"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table" Target="../tables/table13.xml"/><Relationship Id="rId29" Type="http://schemas.openxmlformats.org/officeDocument/2006/relationships/table" Target="../tables/table26.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8" Type="http://schemas.openxmlformats.org/officeDocument/2006/relationships/table" Target="../tables/table55.xml"/><Relationship Id="rId66" Type="http://schemas.openxmlformats.org/officeDocument/2006/relationships/table" Target="../tables/table63.xml"/><Relationship Id="rId5" Type="http://schemas.openxmlformats.org/officeDocument/2006/relationships/table" Target="../tables/table2.xml"/><Relationship Id="rId61" Type="http://schemas.openxmlformats.org/officeDocument/2006/relationships/table" Target="../tables/table58.xml"/><Relationship Id="rId19" Type="http://schemas.openxmlformats.org/officeDocument/2006/relationships/table" Target="../tables/table1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64" Type="http://schemas.openxmlformats.org/officeDocument/2006/relationships/table" Target="../tables/table61.xml"/><Relationship Id="rId69" Type="http://schemas.openxmlformats.org/officeDocument/2006/relationships/table" Target="../tables/table66.xml"/><Relationship Id="rId8" Type="http://schemas.openxmlformats.org/officeDocument/2006/relationships/table" Target="../tables/table5.xml"/><Relationship Id="rId51" Type="http://schemas.openxmlformats.org/officeDocument/2006/relationships/table" Target="../tables/table48.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67" Type="http://schemas.openxmlformats.org/officeDocument/2006/relationships/table" Target="../tables/table64.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70" Type="http://schemas.openxmlformats.org/officeDocument/2006/relationships/table" Target="../tables/table67.xml"/><Relationship Id="rId1" Type="http://schemas.openxmlformats.org/officeDocument/2006/relationships/printerSettings" Target="../printerSettings/printerSettings1.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5790-10BF-4DF5-ADD3-889B9F626BB8}">
  <dimension ref="A1:F1514"/>
  <sheetViews>
    <sheetView tabSelected="1" workbookViewId="0">
      <selection activeCell="D577" sqref="D577:D580"/>
    </sheetView>
  </sheetViews>
  <sheetFormatPr baseColWidth="10" defaultRowHeight="14.4" x14ac:dyDescent="0.3"/>
  <cols>
    <col min="1" max="1" width="22" customWidth="1"/>
    <col min="2" max="2" width="25.77734375" customWidth="1"/>
    <col min="3" max="3" width="13.5546875" customWidth="1"/>
    <col min="4" max="4" width="20.44140625" customWidth="1"/>
    <col min="5" max="5" width="23.77734375" customWidth="1"/>
    <col min="6" max="6" width="28.88671875" customWidth="1"/>
  </cols>
  <sheetData>
    <row r="1" spans="1:6" ht="18.600000000000001" thickTop="1" x14ac:dyDescent="0.3">
      <c r="A1" s="13"/>
      <c r="B1" s="14"/>
      <c r="C1" s="15"/>
      <c r="D1" s="15"/>
      <c r="E1" s="16"/>
      <c r="F1" s="14"/>
    </row>
    <row r="2" spans="1:6" ht="23.4" x14ac:dyDescent="0.3">
      <c r="A2" s="13"/>
      <c r="B2" s="1" t="s">
        <v>0</v>
      </c>
      <c r="C2" s="1"/>
      <c r="D2" s="1"/>
      <c r="E2" s="1"/>
      <c r="F2" s="2"/>
    </row>
    <row r="3" spans="1:6" ht="23.4" x14ac:dyDescent="0.3">
      <c r="A3" s="13"/>
      <c r="B3" s="3" t="str">
        <f>"AÑO "&amp;E11</f>
        <v>AÑO 2025</v>
      </c>
      <c r="C3" s="3"/>
      <c r="D3" s="3"/>
      <c r="E3" s="3"/>
      <c r="F3" s="4"/>
    </row>
    <row r="4" spans="1:6" ht="18" x14ac:dyDescent="0.3">
      <c r="A4" s="13"/>
      <c r="B4" s="14"/>
      <c r="C4" s="14"/>
      <c r="D4" s="17"/>
      <c r="E4" s="18"/>
      <c r="F4" s="14"/>
    </row>
    <row r="5" spans="1:6" ht="21.6" thickBot="1" x14ac:dyDescent="0.35">
      <c r="A5" s="19"/>
      <c r="B5" s="19"/>
      <c r="C5" s="20"/>
      <c r="D5" s="20"/>
      <c r="E5" s="20"/>
      <c r="F5" s="20"/>
    </row>
    <row r="6" spans="1:6" ht="15" thickBot="1" x14ac:dyDescent="0.35">
      <c r="A6" s="21" t="s">
        <v>1</v>
      </c>
      <c r="B6" s="22"/>
      <c r="C6" s="23"/>
      <c r="D6" s="5" t="s">
        <v>2</v>
      </c>
      <c r="E6" s="6" t="s">
        <v>3</v>
      </c>
      <c r="F6" s="7"/>
    </row>
    <row r="7" spans="1:6" ht="15" thickBot="1" x14ac:dyDescent="0.35">
      <c r="A7" s="24" t="s">
        <v>4</v>
      </c>
      <c r="B7" s="22"/>
      <c r="C7" s="22"/>
      <c r="D7" s="5" t="s">
        <v>5</v>
      </c>
      <c r="E7" s="6" t="s">
        <v>6</v>
      </c>
      <c r="F7" s="7"/>
    </row>
    <row r="8" spans="1:6" ht="15" thickBot="1" x14ac:dyDescent="0.35">
      <c r="A8" s="22"/>
      <c r="B8" s="22"/>
      <c r="C8" s="22"/>
      <c r="D8" s="5" t="s">
        <v>7</v>
      </c>
      <c r="E8" s="6" t="s">
        <v>8</v>
      </c>
      <c r="F8" s="7"/>
    </row>
    <row r="9" spans="1:6" ht="15" thickBot="1" x14ac:dyDescent="0.35">
      <c r="A9" s="25" t="s">
        <v>9</v>
      </c>
      <c r="B9" s="26">
        <f ca="1">COUNTIFS(TotalEstColumnName,"="&amp;TotalEstLabel,TotalEstColumnValue,"&gt;0")</f>
        <v>67</v>
      </c>
      <c r="C9" s="22"/>
      <c r="D9" s="5" t="s">
        <v>10</v>
      </c>
      <c r="E9" s="6" t="s">
        <v>11</v>
      </c>
      <c r="F9" s="7"/>
    </row>
    <row r="10" spans="1:6" ht="24.6" thickBot="1" x14ac:dyDescent="0.35">
      <c r="A10" s="27" t="s">
        <v>12</v>
      </c>
      <c r="B10" s="28">
        <f ca="1">SUMIF(TotalEstColumnName,"="&amp;TotalEstLabel,TotalEstColumnValue)</f>
        <v>34745417</v>
      </c>
      <c r="C10" s="22"/>
      <c r="D10" s="5" t="s">
        <v>13</v>
      </c>
      <c r="E10" s="6" t="s">
        <v>14</v>
      </c>
      <c r="F10" s="7"/>
    </row>
    <row r="11" spans="1:6" ht="15" thickBot="1" x14ac:dyDescent="0.35">
      <c r="A11" s="22"/>
      <c r="B11" s="22"/>
      <c r="C11" s="22"/>
      <c r="D11" s="5" t="s">
        <v>15</v>
      </c>
      <c r="E11" s="8" t="s">
        <v>16</v>
      </c>
      <c r="F11" s="9"/>
    </row>
    <row r="12" spans="1:6" ht="15" thickBot="1" x14ac:dyDescent="0.35">
      <c r="A12" s="29"/>
      <c r="B12" s="29"/>
      <c r="C12" s="29"/>
      <c r="D12" s="5" t="s">
        <v>17</v>
      </c>
      <c r="E12" s="10" t="s">
        <v>18</v>
      </c>
      <c r="F12" s="11"/>
    </row>
    <row r="13" spans="1:6" x14ac:dyDescent="0.3">
      <c r="A13" s="30"/>
      <c r="B13" s="30"/>
      <c r="C13" s="30"/>
      <c r="D13" s="30"/>
      <c r="E13" s="30"/>
      <c r="F13" s="30"/>
    </row>
    <row r="14" spans="1:6" ht="15" thickBot="1" x14ac:dyDescent="0.35">
      <c r="A14" s="30"/>
      <c r="B14" s="30"/>
      <c r="C14" s="30"/>
      <c r="D14" s="30"/>
      <c r="E14" s="30"/>
      <c r="F14" s="30"/>
    </row>
    <row r="15" spans="1:6" ht="21" thickBot="1" x14ac:dyDescent="0.35">
      <c r="A15" s="31" t="s">
        <v>19</v>
      </c>
      <c r="B15" s="31" t="s">
        <v>20</v>
      </c>
      <c r="C15" s="31" t="s">
        <v>21</v>
      </c>
      <c r="D15" s="31" t="s">
        <v>22</v>
      </c>
      <c r="E15" s="31" t="s">
        <v>23</v>
      </c>
      <c r="F15" s="31" t="s">
        <v>24</v>
      </c>
    </row>
    <row r="16" spans="1:6" ht="21" thickBot="1" x14ac:dyDescent="0.35">
      <c r="A16" s="12" t="s">
        <v>25</v>
      </c>
      <c r="B16" s="12" t="s">
        <v>26</v>
      </c>
      <c r="C16" s="12" t="s">
        <v>27</v>
      </c>
      <c r="D16" s="12" t="s">
        <v>28</v>
      </c>
      <c r="E16" s="12" t="s">
        <v>29</v>
      </c>
      <c r="F16" s="12" t="s">
        <v>18</v>
      </c>
    </row>
    <row r="17" spans="1:6" ht="15" thickBot="1" x14ac:dyDescent="0.35">
      <c r="A17" s="32" t="s">
        <v>30</v>
      </c>
      <c r="B17" s="33" t="s">
        <v>31</v>
      </c>
      <c r="C17" s="34">
        <v>45691</v>
      </c>
      <c r="D17" s="32" t="s">
        <v>32</v>
      </c>
      <c r="E17" s="35" t="s">
        <v>33</v>
      </c>
      <c r="F17" s="36" t="s">
        <v>34</v>
      </c>
    </row>
    <row r="18" spans="1:6" ht="15" thickBot="1" x14ac:dyDescent="0.35">
      <c r="A18" s="37"/>
      <c r="B18" s="33" t="s">
        <v>35</v>
      </c>
      <c r="C18" s="38">
        <f>IF(C17="","",IF(AND(MONTH(C17)&gt;=1,MONTH(C17)&lt;=3),1,IF(AND(MONTH(C17)&gt;=4,MONTH(C17)&lt;=6),2,IF(AND(MONTH(C17)&gt;=7,MONTH(C17)&lt;=9),3,4))))</f>
        <v>1</v>
      </c>
      <c r="D18" s="37"/>
      <c r="E18" s="35" t="s">
        <v>36</v>
      </c>
      <c r="F18" s="36" t="s">
        <v>37</v>
      </c>
    </row>
    <row r="19" spans="1:6" ht="15" thickBot="1" x14ac:dyDescent="0.35">
      <c r="A19" s="37"/>
      <c r="B19" s="33" t="s">
        <v>38</v>
      </c>
      <c r="C19" s="34">
        <v>45694</v>
      </c>
      <c r="D19" s="37"/>
      <c r="E19" s="35" t="s">
        <v>39</v>
      </c>
      <c r="F19" s="36" t="s">
        <v>37</v>
      </c>
    </row>
    <row r="20" spans="1:6" ht="15" thickBot="1" x14ac:dyDescent="0.35">
      <c r="A20" s="37"/>
      <c r="B20" s="33" t="s">
        <v>35</v>
      </c>
      <c r="C20" s="38">
        <f>IF(C19="","",IF(AND(MONTH(C19)&gt;=1,MONTH(C19)&lt;=3),1,IF(AND(MONTH(C19)&gt;=4,MONTH(C19)&lt;=6),2,IF(AND(MONTH(C19)&gt;=7,MONTH(C19)&lt;=9),3,4))))</f>
        <v>1</v>
      </c>
      <c r="D20" s="37"/>
      <c r="E20" s="35" t="s">
        <v>40</v>
      </c>
      <c r="F20" s="36"/>
    </row>
    <row r="21" spans="1:6" ht="15" thickBot="1" x14ac:dyDescent="0.35">
      <c r="A21" s="30"/>
      <c r="B21" s="30"/>
      <c r="C21" s="30"/>
      <c r="D21" s="30"/>
      <c r="E21" s="30"/>
      <c r="F21" s="30"/>
    </row>
    <row r="22" spans="1:6" ht="15" thickBot="1" x14ac:dyDescent="0.35">
      <c r="A22" s="39" t="s">
        <v>41</v>
      </c>
      <c r="B22" s="39" t="s">
        <v>42</v>
      </c>
      <c r="C22" s="39" t="s">
        <v>43</v>
      </c>
      <c r="D22" s="39" t="s">
        <v>44</v>
      </c>
      <c r="E22" s="39" t="s">
        <v>45</v>
      </c>
      <c r="F22" s="39" t="s">
        <v>46</v>
      </c>
    </row>
    <row r="23" spans="1:6" x14ac:dyDescent="0.3">
      <c r="A23" s="40" t="s">
        <v>47</v>
      </c>
      <c r="B23" s="41" t="str">
        <f ca="1">IFERROR(INDEX(UNSPSCDes,MATCH(INDIRECT(ADDRESS(ROW(),COLUMN()-1,4)),UNSPSCCode,0)),IF(INDIRECT(ADDRESS(ROW(),COLUMN()-1,4))="50101538","Verduras frescas",""))</f>
        <v>Verduras frescas</v>
      </c>
      <c r="C23" s="42" t="str">
        <f>IFERROR(VLOOKUP("LB",'[1]Informacion '!P:Q,2,FALSE),"")</f>
        <v>Libra </v>
      </c>
      <c r="D23" s="40">
        <v>2800</v>
      </c>
      <c r="E23" s="43">
        <v>25</v>
      </c>
      <c r="F23" s="44">
        <f t="shared" ref="F23:F63" ca="1" si="0">INDIRECT(ADDRESS(ROW(),COLUMN()-2,4))*INDIRECT(ADDRESS(ROW(),COLUMN()-1,4))</f>
        <v>70000</v>
      </c>
    </row>
    <row r="24" spans="1:6" x14ac:dyDescent="0.3">
      <c r="A24" s="40" t="s">
        <v>47</v>
      </c>
      <c r="B24" s="41" t="str">
        <f ca="1">IFERROR(INDEX(UNSPSCDes,MATCH(INDIRECT(ADDRESS(ROW(),COLUMN()-1,4)),UNSPSCCode,0)),IF(INDIRECT(ADDRESS(ROW(),COLUMN()-1,4))="50101538","Verduras frescas",""))</f>
        <v>Verduras frescas</v>
      </c>
      <c r="C24" s="42" t="str">
        <f>IFERROR(VLOOKUP("LB",'[1]Informacion '!P:Q,2,FALSE),"")</f>
        <v>Libra </v>
      </c>
      <c r="D24" s="40">
        <v>700</v>
      </c>
      <c r="E24" s="43">
        <v>35</v>
      </c>
      <c r="F24" s="44">
        <f t="shared" ca="1" si="0"/>
        <v>24500</v>
      </c>
    </row>
    <row r="25" spans="1:6" x14ac:dyDescent="0.3">
      <c r="A25" s="40" t="s">
        <v>47</v>
      </c>
      <c r="B25" s="41" t="str">
        <f ca="1">IFERROR(INDEX(UNSPSCDes,MATCH(INDIRECT(ADDRESS(ROW(),COLUMN()-1,4)),UNSPSCCode,0)),IF(INDIRECT(ADDRESS(ROW(),COLUMN()-1,4))="50101538","Verduras frescas",""))</f>
        <v>Verduras frescas</v>
      </c>
      <c r="C25" s="42" t="str">
        <f>IFERROR(VLOOKUP("LB",'[1]Informacion '!P:Q,2,FALSE),"")</f>
        <v>Libra </v>
      </c>
      <c r="D25" s="40">
        <v>970</v>
      </c>
      <c r="E25" s="43">
        <v>40</v>
      </c>
      <c r="F25" s="44">
        <f t="shared" ca="1" si="0"/>
        <v>38800</v>
      </c>
    </row>
    <row r="26" spans="1:6" x14ac:dyDescent="0.3">
      <c r="A26" s="40" t="s">
        <v>47</v>
      </c>
      <c r="B26" s="41" t="str">
        <f ca="1">IFERROR(INDEX(UNSPSCDes,MATCH(INDIRECT(ADDRESS(ROW(),COLUMN()-1,4)),UNSPSCCode,0)),IF(INDIRECT(ADDRESS(ROW(),COLUMN()-1,4))="50101538","Verduras frescas",""))</f>
        <v>Verduras frescas</v>
      </c>
      <c r="C26" s="42" t="str">
        <f>IFERROR(VLOOKUP("LB",'[1]Informacion '!P:Q,2,FALSE),"")</f>
        <v>Libra </v>
      </c>
      <c r="D26" s="40">
        <v>1800</v>
      </c>
      <c r="E26" s="43">
        <v>35</v>
      </c>
      <c r="F26" s="44">
        <f t="shared" ca="1" si="0"/>
        <v>63000</v>
      </c>
    </row>
    <row r="27" spans="1:6" x14ac:dyDescent="0.3">
      <c r="A27" s="40" t="s">
        <v>48</v>
      </c>
      <c r="B27" s="41" t="str">
        <f ca="1">IFERROR(INDEX(UNSPSCDes,MATCH(INDIRECT(ADDRESS(ROW(),COLUMN()-1,4)),UNSPSCCode,0)),IF(INDIRECT(ADDRESS(ROW(),COLUMN()-1,4))="50101634","Fruta fresca",""))</f>
        <v>Fruta fresca</v>
      </c>
      <c r="C27" s="42" t="str">
        <f>IFERROR(VLOOKUP("LB",'[1]Informacion '!P:Q,2,FALSE),"")</f>
        <v>Libra </v>
      </c>
      <c r="D27" s="40">
        <v>2200</v>
      </c>
      <c r="E27" s="43">
        <v>15</v>
      </c>
      <c r="F27" s="44">
        <f t="shared" ca="1" si="0"/>
        <v>33000</v>
      </c>
    </row>
    <row r="28" spans="1:6" x14ac:dyDescent="0.3">
      <c r="A28" s="40" t="s">
        <v>49</v>
      </c>
      <c r="B28" s="41" t="str">
        <f ca="1">IFERROR(INDEX(UNSPSCDes,MATCH(INDIRECT(ADDRESS(ROW(),COLUMN()-1,4)),UNSPSCCode,0)),IF(INDIRECT(ADDRESS(ROW(),COLUMN()-1,4))="50101540","Verduras estables sin refrigerar",""))</f>
        <v>Verduras estables sin refrigerar</v>
      </c>
      <c r="C28" s="42" t="str">
        <f>IFERROR(VLOOKUP("LB",'[1]Informacion '!P:Q,2,FALSE),"")</f>
        <v>Libra </v>
      </c>
      <c r="D28" s="40">
        <v>112</v>
      </c>
      <c r="E28" s="43">
        <v>30</v>
      </c>
      <c r="F28" s="44">
        <f t="shared" ca="1" si="0"/>
        <v>3360</v>
      </c>
    </row>
    <row r="29" spans="1:6" x14ac:dyDescent="0.3">
      <c r="A29" s="40" t="s">
        <v>49</v>
      </c>
      <c r="B29" s="41" t="str">
        <f ca="1">IFERROR(INDEX(UNSPSCDes,MATCH(INDIRECT(ADDRESS(ROW(),COLUMN()-1,4)),UNSPSCCode,0)),IF(INDIRECT(ADDRESS(ROW(),COLUMN()-1,4))="50101540","Verduras estables sin refrigerar",""))</f>
        <v>Verduras estables sin refrigerar</v>
      </c>
      <c r="C29" s="42" t="str">
        <f>IFERROR(VLOOKUP("LB",'[1]Informacion '!P:Q,2,FALSE),"")</f>
        <v>Libra </v>
      </c>
      <c r="D29" s="40">
        <v>1500</v>
      </c>
      <c r="E29" s="43">
        <v>20</v>
      </c>
      <c r="F29" s="44">
        <f t="shared" ca="1" si="0"/>
        <v>30000</v>
      </c>
    </row>
    <row r="30" spans="1:6" x14ac:dyDescent="0.3">
      <c r="A30" s="40" t="s">
        <v>48</v>
      </c>
      <c r="B30" s="41" t="str">
        <f ca="1">IFERROR(INDEX(UNSPSCDes,MATCH(INDIRECT(ADDRESS(ROW(),COLUMN()-1,4)),UNSPSCCode,0)),IF(INDIRECT(ADDRESS(ROW(),COLUMN()-1,4))="50101634","Fruta fresca",""))</f>
        <v>Fruta fresca</v>
      </c>
      <c r="C30" s="42" t="str">
        <f>IFERROR(VLOOKUP("CAJ",'[1]Informacion '!P:Q,2,FALSE),"")</f>
        <v>Caja</v>
      </c>
      <c r="D30" s="40">
        <v>500</v>
      </c>
      <c r="E30" s="43">
        <v>750</v>
      </c>
      <c r="F30" s="44">
        <f t="shared" ca="1" si="0"/>
        <v>375000</v>
      </c>
    </row>
    <row r="31" spans="1:6" x14ac:dyDescent="0.3">
      <c r="A31" s="40" t="s">
        <v>49</v>
      </c>
      <c r="B31" s="41" t="str">
        <f ca="1">IFERROR(INDEX(UNSPSCDes,MATCH(INDIRECT(ADDRESS(ROW(),COLUMN()-1,4)),UNSPSCCode,0)),IF(INDIRECT(ADDRESS(ROW(),COLUMN()-1,4))="50101540","Verduras estables sin refrigerar",""))</f>
        <v>Verduras estables sin refrigerar</v>
      </c>
      <c r="C31" s="42" t="str">
        <f>IFERROR(VLOOKUP("LB",'[1]Informacion '!P:Q,2,FALSE),"")</f>
        <v>Libra </v>
      </c>
      <c r="D31" s="40">
        <v>1500</v>
      </c>
      <c r="E31" s="43">
        <v>20</v>
      </c>
      <c r="F31" s="44">
        <f t="shared" ca="1" si="0"/>
        <v>30000</v>
      </c>
    </row>
    <row r="32" spans="1:6" x14ac:dyDescent="0.3">
      <c r="A32" s="40" t="s">
        <v>48</v>
      </c>
      <c r="B32" s="41" t="str">
        <f ca="1">IFERROR(INDEX(UNSPSCDes,MATCH(INDIRECT(ADDRESS(ROW(),COLUMN()-1,4)),UNSPSCCode,0)),IF(INDIRECT(ADDRESS(ROW(),COLUMN()-1,4))="50101634","Fruta fresca",""))</f>
        <v>Fruta fresca</v>
      </c>
      <c r="C32" s="42" t="str">
        <f>IFERROR(VLOOKUP("LB",'[1]Informacion '!P:Q,2,FALSE),"")</f>
        <v>Libra </v>
      </c>
      <c r="D32" s="40">
        <v>2080</v>
      </c>
      <c r="E32" s="43">
        <v>12</v>
      </c>
      <c r="F32" s="44">
        <f t="shared" ca="1" si="0"/>
        <v>24960</v>
      </c>
    </row>
    <row r="33" spans="1:6" x14ac:dyDescent="0.3">
      <c r="A33" s="40" t="s">
        <v>48</v>
      </c>
      <c r="B33" s="41" t="str">
        <f ca="1">IFERROR(INDEX(UNSPSCDes,MATCH(INDIRECT(ADDRESS(ROW(),COLUMN()-1,4)),UNSPSCCode,0)),IF(INDIRECT(ADDRESS(ROW(),COLUMN()-1,4))="50101634","Fruta fresca",""))</f>
        <v>Fruta fresca</v>
      </c>
      <c r="C33" s="42" t="str">
        <f>IFERROR(VLOOKUP("LB",'[1]Informacion '!P:Q,2,FALSE),"")</f>
        <v>Libra </v>
      </c>
      <c r="D33" s="40">
        <v>1224</v>
      </c>
      <c r="E33" s="43">
        <v>50</v>
      </c>
      <c r="F33" s="44">
        <f t="shared" ca="1" si="0"/>
        <v>61200</v>
      </c>
    </row>
    <row r="34" spans="1:6" x14ac:dyDescent="0.3">
      <c r="A34" s="40" t="s">
        <v>47</v>
      </c>
      <c r="B34" s="41" t="str">
        <f ca="1">IFERROR(INDEX(UNSPSCDes,MATCH(INDIRECT(ADDRESS(ROW(),COLUMN()-1,4)),UNSPSCCode,0)),IF(INDIRECT(ADDRESS(ROW(),COLUMN()-1,4))="50101538","Verduras frescas",""))</f>
        <v>Verduras frescas</v>
      </c>
      <c r="C34" s="42" t="str">
        <f>IFERROR(VLOOKUP("LB",'[1]Informacion '!P:Q,2,FALSE),"")</f>
        <v>Libra </v>
      </c>
      <c r="D34" s="40">
        <v>374</v>
      </c>
      <c r="E34" s="43">
        <v>35</v>
      </c>
      <c r="F34" s="44">
        <f t="shared" ca="1" si="0"/>
        <v>13090</v>
      </c>
    </row>
    <row r="35" spans="1:6" x14ac:dyDescent="0.3">
      <c r="A35" s="40" t="s">
        <v>47</v>
      </c>
      <c r="B35" s="41" t="str">
        <f ca="1">IFERROR(INDEX(UNSPSCDes,MATCH(INDIRECT(ADDRESS(ROW(),COLUMN()-1,4)),UNSPSCCode,0)),IF(INDIRECT(ADDRESS(ROW(),COLUMN()-1,4))="50101538","Verduras frescas",""))</f>
        <v>Verduras frescas</v>
      </c>
      <c r="C35" s="42" t="str">
        <f>IFERROR(VLOOKUP("LB",'[1]Informacion '!P:Q,2,FALSE),"")</f>
        <v>Libra </v>
      </c>
      <c r="D35" s="40">
        <v>692</v>
      </c>
      <c r="E35" s="43">
        <v>40</v>
      </c>
      <c r="F35" s="44">
        <f t="shared" ca="1" si="0"/>
        <v>27680</v>
      </c>
    </row>
    <row r="36" spans="1:6" x14ac:dyDescent="0.3">
      <c r="A36" s="40" t="s">
        <v>49</v>
      </c>
      <c r="B36" s="41" t="str">
        <f ca="1">IFERROR(INDEX(UNSPSCDes,MATCH(INDIRECT(ADDRESS(ROW(),COLUMN()-1,4)),UNSPSCCode,0)),IF(INDIRECT(ADDRESS(ROW(),COLUMN()-1,4))="50101540","Verduras estables sin refrigerar",""))</f>
        <v>Verduras estables sin refrigerar</v>
      </c>
      <c r="C36" s="42" t="str">
        <f>IFERROR(VLOOKUP("LB",'[1]Informacion '!P:Q,2,FALSE),"")</f>
        <v>Libra </v>
      </c>
      <c r="D36" s="40">
        <v>1490</v>
      </c>
      <c r="E36" s="43">
        <v>35</v>
      </c>
      <c r="F36" s="44">
        <f t="shared" ca="1" si="0"/>
        <v>52150</v>
      </c>
    </row>
    <row r="37" spans="1:6" x14ac:dyDescent="0.3">
      <c r="A37" s="40" t="s">
        <v>47</v>
      </c>
      <c r="B37" s="41" t="str">
        <f ca="1">IFERROR(INDEX(UNSPSCDes,MATCH(INDIRECT(ADDRESS(ROW(),COLUMN()-1,4)),UNSPSCCode,0)),IF(INDIRECT(ADDRESS(ROW(),COLUMN()-1,4))="50101538","Verduras frescas",""))</f>
        <v>Verduras frescas</v>
      </c>
      <c r="C37" s="42" t="str">
        <f>IFERROR(VLOOKUP("PAQ",'[1]Informacion '!P:Q,2,FALSE),"")</f>
        <v>Paquete</v>
      </c>
      <c r="D37" s="40">
        <v>374</v>
      </c>
      <c r="E37" s="43">
        <v>60</v>
      </c>
      <c r="F37" s="44">
        <f t="shared" ca="1" si="0"/>
        <v>22440</v>
      </c>
    </row>
    <row r="38" spans="1:6" x14ac:dyDescent="0.3">
      <c r="A38" s="40" t="s">
        <v>48</v>
      </c>
      <c r="B38" s="41" t="str">
        <f ca="1">IFERROR(INDEX(UNSPSCDes,MATCH(INDIRECT(ADDRESS(ROW(),COLUMN()-1,4)),UNSPSCCode,0)),IF(INDIRECT(ADDRESS(ROW(),COLUMN()-1,4))="50101634","Fruta fresca",""))</f>
        <v>Fruta fresca</v>
      </c>
      <c r="C38" s="42" t="str">
        <f>IFERROR(VLOOKUP("LB",'[1]Informacion '!P:Q,2,FALSE),"")</f>
        <v>Libra </v>
      </c>
      <c r="D38" s="40">
        <v>2200</v>
      </c>
      <c r="E38" s="43">
        <v>24</v>
      </c>
      <c r="F38" s="44">
        <f t="shared" ca="1" si="0"/>
        <v>52800</v>
      </c>
    </row>
    <row r="39" spans="1:6" x14ac:dyDescent="0.3">
      <c r="A39" s="40" t="s">
        <v>47</v>
      </c>
      <c r="B39" s="41" t="str">
        <f ca="1">IFERROR(INDEX(UNSPSCDes,MATCH(INDIRECT(ADDRESS(ROW(),COLUMN()-1,4)),UNSPSCCode,0)),IF(INDIRECT(ADDRESS(ROW(),COLUMN()-1,4))="50101538","Verduras frescas",""))</f>
        <v>Verduras frescas</v>
      </c>
      <c r="C39" s="42" t="str">
        <f>IFERROR(VLOOKUP("LB",'[1]Informacion '!P:Q,2,FALSE),"")</f>
        <v>Libra </v>
      </c>
      <c r="D39" s="40">
        <v>3000</v>
      </c>
      <c r="E39" s="43">
        <v>30</v>
      </c>
      <c r="F39" s="44">
        <f t="shared" ca="1" si="0"/>
        <v>90000</v>
      </c>
    </row>
    <row r="40" spans="1:6" x14ac:dyDescent="0.3">
      <c r="A40" s="40" t="s">
        <v>48</v>
      </c>
      <c r="B40" s="41" t="str">
        <f ca="1">IFERROR(INDEX(UNSPSCDes,MATCH(INDIRECT(ADDRESS(ROW(),COLUMN()-1,4)),UNSPSCCode,0)),IF(INDIRECT(ADDRESS(ROW(),COLUMN()-1,4))="50101634","Fruta fresca",""))</f>
        <v>Fruta fresca</v>
      </c>
      <c r="C40" s="42" t="str">
        <f>IFERROR(VLOOKUP("LB",'[1]Informacion '!P:Q,2,FALSE),"")</f>
        <v>Libra </v>
      </c>
      <c r="D40" s="40">
        <v>1400</v>
      </c>
      <c r="E40" s="43">
        <v>65</v>
      </c>
      <c r="F40" s="44">
        <f t="shared" ca="1" si="0"/>
        <v>91000</v>
      </c>
    </row>
    <row r="41" spans="1:6" x14ac:dyDescent="0.3">
      <c r="A41" s="40" t="s">
        <v>47</v>
      </c>
      <c r="B41" s="41" t="str">
        <f ca="1">IFERROR(INDEX(UNSPSCDes,MATCH(INDIRECT(ADDRESS(ROW(),COLUMN()-1,4)),UNSPSCCode,0)),IF(INDIRECT(ADDRESS(ROW(),COLUMN()-1,4))="50101538","Verduras frescas",""))</f>
        <v>Verduras frescas</v>
      </c>
      <c r="C41" s="42" t="str">
        <f>IFERROR(VLOOKUP("UD",'[1]Informacion '!P:Q,2,FALSE),"")</f>
        <v>Unidad</v>
      </c>
      <c r="D41" s="40">
        <v>10000</v>
      </c>
      <c r="E41" s="43">
        <v>10</v>
      </c>
      <c r="F41" s="44">
        <f t="shared" ca="1" si="0"/>
        <v>100000</v>
      </c>
    </row>
    <row r="42" spans="1:6" x14ac:dyDescent="0.3">
      <c r="A42" s="40" t="s">
        <v>50</v>
      </c>
      <c r="B42" s="41" t="str">
        <f ca="1">IFERROR(INDEX(UNSPSCDes,MATCH(INDIRECT(ADDRESS(ROW(),COLUMN()-1,4)),UNSPSCCode,0)),IF(INDIRECT(ADDRESS(ROW(),COLUMN()-1,4))="50131606","Huevos frescos",""))</f>
        <v>Huevos frescos</v>
      </c>
      <c r="C42" s="42" t="str">
        <f>IFERROR(VLOOKUP("UD",'[1]Informacion '!P:Q,2,FALSE),"")</f>
        <v>Unidad</v>
      </c>
      <c r="D42" s="40">
        <v>140</v>
      </c>
      <c r="E42" s="43">
        <v>200</v>
      </c>
      <c r="F42" s="44">
        <f t="shared" ca="1" si="0"/>
        <v>28000</v>
      </c>
    </row>
    <row r="43" spans="1:6" x14ac:dyDescent="0.3">
      <c r="A43" s="40" t="s">
        <v>49</v>
      </c>
      <c r="B43" s="41" t="str">
        <f ca="1">IFERROR(INDEX(UNSPSCDes,MATCH(INDIRECT(ADDRESS(ROW(),COLUMN()-1,4)),UNSPSCCode,0)),IF(INDIRECT(ADDRESS(ROW(),COLUMN()-1,4))="50101540","Verduras estables sin refrigerar",""))</f>
        <v>Verduras estables sin refrigerar</v>
      </c>
      <c r="C43" s="42" t="str">
        <f>IFERROR(VLOOKUP("LB",'[1]Informacion '!P:Q,2,FALSE),"")</f>
        <v>Libra </v>
      </c>
      <c r="D43" s="40">
        <v>400</v>
      </c>
      <c r="E43" s="43">
        <v>10</v>
      </c>
      <c r="F43" s="44">
        <f t="shared" ca="1" si="0"/>
        <v>4000</v>
      </c>
    </row>
    <row r="44" spans="1:6" x14ac:dyDescent="0.3">
      <c r="A44" s="40" t="s">
        <v>49</v>
      </c>
      <c r="B44" s="41" t="str">
        <f ca="1">IFERROR(INDEX(UNSPSCDes,MATCH(INDIRECT(ADDRESS(ROW(),COLUMN()-1,4)),UNSPSCCode,0)),IF(INDIRECT(ADDRESS(ROW(),COLUMN()-1,4))="50101540","Verduras estables sin refrigerar",""))</f>
        <v>Verduras estables sin refrigerar</v>
      </c>
      <c r="C44" s="42" t="str">
        <f>IFERROR(VLOOKUP("LB",'[1]Informacion '!P:Q,2,FALSE),"")</f>
        <v>Libra </v>
      </c>
      <c r="D44" s="40">
        <v>10000</v>
      </c>
      <c r="E44" s="43">
        <v>25</v>
      </c>
      <c r="F44" s="44">
        <f t="shared" ca="1" si="0"/>
        <v>250000</v>
      </c>
    </row>
    <row r="45" spans="1:6" x14ac:dyDescent="0.3">
      <c r="A45" s="40" t="s">
        <v>47</v>
      </c>
      <c r="B45" s="41" t="str">
        <f ca="1">IFERROR(INDEX(UNSPSCDes,MATCH(INDIRECT(ADDRESS(ROW(),COLUMN()-1,4)),UNSPSCCode,0)),IF(INDIRECT(ADDRESS(ROW(),COLUMN()-1,4))="50101538","Verduras frescas",""))</f>
        <v>Verduras frescas</v>
      </c>
      <c r="C45" s="42" t="str">
        <f>IFERROR(VLOOKUP("LB",'[1]Informacion '!P:Q,2,FALSE),"")</f>
        <v>Libra </v>
      </c>
      <c r="D45" s="40">
        <v>450</v>
      </c>
      <c r="E45" s="43">
        <v>35</v>
      </c>
      <c r="F45" s="44">
        <f t="shared" ca="1" si="0"/>
        <v>15750</v>
      </c>
    </row>
    <row r="46" spans="1:6" x14ac:dyDescent="0.3">
      <c r="A46" s="40" t="s">
        <v>48</v>
      </c>
      <c r="B46" s="41" t="str">
        <f ca="1">IFERROR(INDEX(UNSPSCDes,MATCH(INDIRECT(ADDRESS(ROW(),COLUMN()-1,4)),UNSPSCCode,0)),IF(INDIRECT(ADDRESS(ROW(),COLUMN()-1,4))="50101634","Fruta fresca",""))</f>
        <v>Fruta fresca</v>
      </c>
      <c r="C46" s="42" t="str">
        <f>IFERROR(VLOOKUP("LB",'[1]Informacion '!P:Q,2,FALSE),"")</f>
        <v>Libra </v>
      </c>
      <c r="D46" s="40">
        <v>500</v>
      </c>
      <c r="E46" s="43">
        <v>40</v>
      </c>
      <c r="F46" s="44">
        <f t="shared" ca="1" si="0"/>
        <v>20000</v>
      </c>
    </row>
    <row r="47" spans="1:6" x14ac:dyDescent="0.3">
      <c r="A47" s="40" t="s">
        <v>48</v>
      </c>
      <c r="B47" s="41" t="str">
        <f ca="1">IFERROR(INDEX(UNSPSCDes,MATCH(INDIRECT(ADDRESS(ROW(),COLUMN()-1,4)),UNSPSCCode,0)),IF(INDIRECT(ADDRESS(ROW(),COLUMN()-1,4))="50101634","Fruta fresca",""))</f>
        <v>Fruta fresca</v>
      </c>
      <c r="C47" s="42" t="str">
        <f>IFERROR(VLOOKUP("CAJ",'[1]Informacion '!P:Q,2,FALSE),"")</f>
        <v>Caja</v>
      </c>
      <c r="D47" s="40">
        <v>14</v>
      </c>
      <c r="E47" s="43">
        <v>2300</v>
      </c>
      <c r="F47" s="44">
        <f t="shared" ca="1" si="0"/>
        <v>32200</v>
      </c>
    </row>
    <row r="48" spans="1:6" x14ac:dyDescent="0.3">
      <c r="A48" s="40" t="s">
        <v>47</v>
      </c>
      <c r="B48" s="41" t="str">
        <f ca="1">IFERROR(INDEX(UNSPSCDes,MATCH(INDIRECT(ADDRESS(ROW(),COLUMN()-1,4)),UNSPSCCode,0)),IF(INDIRECT(ADDRESS(ROW(),COLUMN()-1,4))="50101538","Verduras frescas",""))</f>
        <v>Verduras frescas</v>
      </c>
      <c r="C48" s="42" t="str">
        <f>IFERROR(VLOOKUP("LB",'[1]Informacion '!P:Q,2,FALSE),"")</f>
        <v>Libra </v>
      </c>
      <c r="D48" s="40">
        <v>300</v>
      </c>
      <c r="E48" s="43">
        <v>25</v>
      </c>
      <c r="F48" s="44">
        <f t="shared" ca="1" si="0"/>
        <v>7500</v>
      </c>
    </row>
    <row r="49" spans="1:6" x14ac:dyDescent="0.3">
      <c r="A49" s="40" t="s">
        <v>48</v>
      </c>
      <c r="B49" s="41" t="str">
        <f ca="1">IFERROR(INDEX(UNSPSCDes,MATCH(INDIRECT(ADDRESS(ROW(),COLUMN()-1,4)),UNSPSCCode,0)),IF(INDIRECT(ADDRESS(ROW(),COLUMN()-1,4))="50101634","Fruta fresca",""))</f>
        <v>Fruta fresca</v>
      </c>
      <c r="C49" s="42" t="str">
        <f>IFERROR(VLOOKUP("LB",'[1]Informacion '!P:Q,2,FALSE),"")</f>
        <v>Libra </v>
      </c>
      <c r="D49" s="40">
        <v>500</v>
      </c>
      <c r="E49" s="43">
        <v>30</v>
      </c>
      <c r="F49" s="44">
        <f t="shared" ca="1" si="0"/>
        <v>15000</v>
      </c>
    </row>
    <row r="50" spans="1:6" x14ac:dyDescent="0.3">
      <c r="A50" s="40" t="s">
        <v>47</v>
      </c>
      <c r="B50" s="41" t="str">
        <f t="shared" ref="B50:B56" ca="1" si="1">IFERROR(INDEX(UNSPSCDes,MATCH(INDIRECT(ADDRESS(ROW(),COLUMN()-1,4)),UNSPSCCode,0)),IF(INDIRECT(ADDRESS(ROW(),COLUMN()-1,4))="50101538","Verduras frescas",""))</f>
        <v>Verduras frescas</v>
      </c>
      <c r="C50" s="42" t="str">
        <f>IFERROR(VLOOKUP("LB",'[1]Informacion '!P:Q,2,FALSE),"")</f>
        <v>Libra </v>
      </c>
      <c r="D50" s="40">
        <v>80</v>
      </c>
      <c r="E50" s="43">
        <v>80</v>
      </c>
      <c r="F50" s="44">
        <f t="shared" ca="1" si="0"/>
        <v>6400</v>
      </c>
    </row>
    <row r="51" spans="1:6" x14ac:dyDescent="0.3">
      <c r="A51" s="40" t="s">
        <v>47</v>
      </c>
      <c r="B51" s="41" t="str">
        <f t="shared" ca="1" si="1"/>
        <v>Verduras frescas</v>
      </c>
      <c r="C51" s="42" t="str">
        <f>IFERROR(VLOOKUP("LB",'[1]Informacion '!P:Q,2,FALSE),"")</f>
        <v>Libra </v>
      </c>
      <c r="D51" s="40">
        <v>80</v>
      </c>
      <c r="E51" s="43">
        <v>50</v>
      </c>
      <c r="F51" s="44">
        <f t="shared" ca="1" si="0"/>
        <v>4000</v>
      </c>
    </row>
    <row r="52" spans="1:6" x14ac:dyDescent="0.3">
      <c r="A52" s="40" t="s">
        <v>47</v>
      </c>
      <c r="B52" s="41" t="str">
        <f t="shared" ca="1" si="1"/>
        <v>Verduras frescas</v>
      </c>
      <c r="C52" s="42" t="str">
        <f>IFERROR(VLOOKUP("LB",'[1]Informacion '!P:Q,2,FALSE),"")</f>
        <v>Libra </v>
      </c>
      <c r="D52" s="40">
        <v>60</v>
      </c>
      <c r="E52" s="43">
        <v>150</v>
      </c>
      <c r="F52" s="44">
        <f t="shared" ca="1" si="0"/>
        <v>9000</v>
      </c>
    </row>
    <row r="53" spans="1:6" x14ac:dyDescent="0.3">
      <c r="A53" s="40" t="s">
        <v>47</v>
      </c>
      <c r="B53" s="41" t="str">
        <f t="shared" ca="1" si="1"/>
        <v>Verduras frescas</v>
      </c>
      <c r="C53" s="42" t="str">
        <f>IFERROR(VLOOKUP("LB",'[1]Informacion '!P:Q,2,FALSE),"")</f>
        <v>Libra </v>
      </c>
      <c r="D53" s="40">
        <v>1600</v>
      </c>
      <c r="E53" s="43">
        <v>40</v>
      </c>
      <c r="F53" s="44">
        <f t="shared" ca="1" si="0"/>
        <v>64000</v>
      </c>
    </row>
    <row r="54" spans="1:6" x14ac:dyDescent="0.3">
      <c r="A54" s="40" t="s">
        <v>47</v>
      </c>
      <c r="B54" s="41" t="str">
        <f t="shared" ca="1" si="1"/>
        <v>Verduras frescas</v>
      </c>
      <c r="C54" s="42" t="str">
        <f>IFERROR(VLOOKUP("LB",'[1]Informacion '!P:Q,2,FALSE),"")</f>
        <v>Libra </v>
      </c>
      <c r="D54" s="40">
        <v>60</v>
      </c>
      <c r="E54" s="43">
        <v>60</v>
      </c>
      <c r="F54" s="44">
        <f t="shared" ca="1" si="0"/>
        <v>3600</v>
      </c>
    </row>
    <row r="55" spans="1:6" x14ac:dyDescent="0.3">
      <c r="A55" s="40" t="s">
        <v>47</v>
      </c>
      <c r="B55" s="41" t="str">
        <f t="shared" ca="1" si="1"/>
        <v>Verduras frescas</v>
      </c>
      <c r="C55" s="42" t="str">
        <f>IFERROR(VLOOKUP("LB",'[1]Informacion '!P:Q,2,FALSE),"")</f>
        <v>Libra </v>
      </c>
      <c r="D55" s="40">
        <v>120</v>
      </c>
      <c r="E55" s="43">
        <v>100</v>
      </c>
      <c r="F55" s="44">
        <f t="shared" ca="1" si="0"/>
        <v>12000</v>
      </c>
    </row>
    <row r="56" spans="1:6" x14ac:dyDescent="0.3">
      <c r="A56" s="40" t="s">
        <v>47</v>
      </c>
      <c r="B56" s="41" t="str">
        <f t="shared" ca="1" si="1"/>
        <v>Verduras frescas</v>
      </c>
      <c r="C56" s="42" t="str">
        <f>IFERROR(VLOOKUP("GAL",'[1]Informacion '!P:Q,2,FALSE),"")</f>
        <v>Galón</v>
      </c>
      <c r="D56" s="40">
        <v>20</v>
      </c>
      <c r="E56" s="43">
        <v>1500</v>
      </c>
      <c r="F56" s="44">
        <f t="shared" ca="1" si="0"/>
        <v>30000</v>
      </c>
    </row>
    <row r="57" spans="1:6" x14ac:dyDescent="0.3">
      <c r="A57" s="40" t="s">
        <v>49</v>
      </c>
      <c r="B57" s="41" t="str">
        <f ca="1">IFERROR(INDEX(UNSPSCDes,MATCH(INDIRECT(ADDRESS(ROW(),COLUMN()-1,4)),UNSPSCCode,0)),IF(INDIRECT(ADDRESS(ROW(),COLUMN()-1,4))="50101540","Verduras estables sin refrigerar",""))</f>
        <v>Verduras estables sin refrigerar</v>
      </c>
      <c r="C57" s="42" t="str">
        <f>IFERROR(VLOOKUP("LB",'[1]Informacion '!P:Q,2,FALSE),"")</f>
        <v>Libra </v>
      </c>
      <c r="D57" s="40">
        <v>500</v>
      </c>
      <c r="E57" s="43">
        <v>12</v>
      </c>
      <c r="F57" s="44">
        <f t="shared" ca="1" si="0"/>
        <v>6000</v>
      </c>
    </row>
    <row r="58" spans="1:6" x14ac:dyDescent="0.3">
      <c r="A58" s="40" t="s">
        <v>49</v>
      </c>
      <c r="B58" s="41" t="str">
        <f ca="1">IFERROR(INDEX(UNSPSCDes,MATCH(INDIRECT(ADDRESS(ROW(),COLUMN()-1,4)),UNSPSCCode,0)),IF(INDIRECT(ADDRESS(ROW(),COLUMN()-1,4))="50101540","Verduras estables sin refrigerar",""))</f>
        <v>Verduras estables sin refrigerar</v>
      </c>
      <c r="C58" s="42" t="str">
        <f>IFERROR(VLOOKUP("LB",'[1]Informacion '!P:Q,2,FALSE),"")</f>
        <v>Libra </v>
      </c>
      <c r="D58" s="40">
        <v>600</v>
      </c>
      <c r="E58" s="43">
        <v>40</v>
      </c>
      <c r="F58" s="44">
        <f t="shared" ca="1" si="0"/>
        <v>24000</v>
      </c>
    </row>
    <row r="59" spans="1:6" x14ac:dyDescent="0.3">
      <c r="A59" s="40" t="s">
        <v>48</v>
      </c>
      <c r="B59" s="41" t="str">
        <f ca="1">IFERROR(INDEX(UNSPSCDes,MATCH(INDIRECT(ADDRESS(ROW(),COLUMN()-1,4)),UNSPSCCode,0)),IF(INDIRECT(ADDRESS(ROW(),COLUMN()-1,4))="50101634","Fruta fresca",""))</f>
        <v>Fruta fresca</v>
      </c>
      <c r="C59" s="42" t="str">
        <f>IFERROR(VLOOKUP("LB",'[1]Informacion '!P:Q,2,FALSE),"")</f>
        <v>Libra </v>
      </c>
      <c r="D59" s="40">
        <v>200</v>
      </c>
      <c r="E59" s="43">
        <v>25</v>
      </c>
      <c r="F59" s="44">
        <f t="shared" ca="1" si="0"/>
        <v>5000</v>
      </c>
    </row>
    <row r="60" spans="1:6" x14ac:dyDescent="0.3">
      <c r="A60" s="40" t="s">
        <v>47</v>
      </c>
      <c r="B60" s="41" t="str">
        <f ca="1">IFERROR(INDEX(UNSPSCDes,MATCH(INDIRECT(ADDRESS(ROW(),COLUMN()-1,4)),UNSPSCCode,0)),IF(INDIRECT(ADDRESS(ROW(),COLUMN()-1,4))="50101538","Verduras frescas",""))</f>
        <v>Verduras frescas</v>
      </c>
      <c r="C60" s="42" t="str">
        <f>IFERROR(VLOOKUP("PAQ",'[1]Informacion '!P:Q,2,FALSE),"")</f>
        <v>Paquete</v>
      </c>
      <c r="D60" s="40">
        <v>100</v>
      </c>
      <c r="E60" s="43">
        <v>40</v>
      </c>
      <c r="F60" s="44">
        <f t="shared" ca="1" si="0"/>
        <v>4000</v>
      </c>
    </row>
    <row r="61" spans="1:6" x14ac:dyDescent="0.3">
      <c r="A61" s="40" t="s">
        <v>49</v>
      </c>
      <c r="B61" s="41" t="str">
        <f ca="1">IFERROR(INDEX(UNSPSCDes,MATCH(INDIRECT(ADDRESS(ROW(),COLUMN()-1,4)),UNSPSCCode,0)),IF(INDIRECT(ADDRESS(ROW(),COLUMN()-1,4))="50101540","Verduras estables sin refrigerar",""))</f>
        <v>Verduras estables sin refrigerar</v>
      </c>
      <c r="C61" s="42" t="str">
        <f>IFERROR(VLOOKUP("LB",'[1]Informacion '!P:Q,2,FALSE),"")</f>
        <v>Libra </v>
      </c>
      <c r="D61" s="40">
        <v>500</v>
      </c>
      <c r="E61" s="43">
        <v>30</v>
      </c>
      <c r="F61" s="44">
        <f t="shared" ca="1" si="0"/>
        <v>15000</v>
      </c>
    </row>
    <row r="62" spans="1:6" x14ac:dyDescent="0.3">
      <c r="A62" s="40" t="s">
        <v>49</v>
      </c>
      <c r="B62" s="41" t="str">
        <f ca="1">IFERROR(INDEX(UNSPSCDes,MATCH(INDIRECT(ADDRESS(ROW(),COLUMN()-1,4)),UNSPSCCode,0)),IF(INDIRECT(ADDRESS(ROW(),COLUMN()-1,4))="50101540","Verduras estables sin refrigerar",""))</f>
        <v>Verduras estables sin refrigerar</v>
      </c>
      <c r="C62" s="42" t="str">
        <f>IFERROR(VLOOKUP("LB",'[1]Informacion '!P:Q,2,FALSE),"")</f>
        <v>Libra </v>
      </c>
      <c r="D62" s="40">
        <v>200</v>
      </c>
      <c r="E62" s="43">
        <v>80</v>
      </c>
      <c r="F62" s="44">
        <f t="shared" ca="1" si="0"/>
        <v>16000</v>
      </c>
    </row>
    <row r="63" spans="1:6" x14ac:dyDescent="0.3">
      <c r="A63" s="40" t="s">
        <v>51</v>
      </c>
      <c r="B63" s="41" t="str">
        <f ca="1">IFERROR(INDEX(UNSPSCDes,MATCH(INDIRECT(ADDRESS(ROW(),COLUMN()-1,4)),UNSPSCCode,0)),IF(INDIRECT(ADDRESS(ROW(),COLUMN()-1,4))="50171548","Hierbas frescas",""))</f>
        <v>Hierbas frescas</v>
      </c>
      <c r="C63" s="42" t="str">
        <f>IFERROR(VLOOKUP("LB",'[1]Informacion '!P:Q,2,FALSE),"")</f>
        <v>Libra </v>
      </c>
      <c r="D63" s="40">
        <v>10</v>
      </c>
      <c r="E63" s="43">
        <v>50</v>
      </c>
      <c r="F63" s="44">
        <f t="shared" ca="1" si="0"/>
        <v>500</v>
      </c>
    </row>
    <row r="64" spans="1:6" x14ac:dyDescent="0.3">
      <c r="A64" s="30"/>
      <c r="B64" s="30"/>
      <c r="C64" s="30"/>
      <c r="D64" s="30"/>
      <c r="E64" s="45" t="s">
        <v>52</v>
      </c>
      <c r="F64" s="46">
        <f ca="1">SUM(Table4[MONTO TOTAL ESTIMADO])</f>
        <v>1774930</v>
      </c>
    </row>
    <row r="65" spans="1:6" ht="15" thickBot="1" x14ac:dyDescent="0.35">
      <c r="A65" s="30"/>
      <c r="B65" s="30"/>
      <c r="C65" s="30"/>
      <c r="D65" s="30"/>
      <c r="E65" s="30"/>
      <c r="F65" s="30"/>
    </row>
    <row r="66" spans="1:6" ht="21" thickBot="1" x14ac:dyDescent="0.35">
      <c r="A66" s="31" t="s">
        <v>19</v>
      </c>
      <c r="B66" s="31" t="s">
        <v>20</v>
      </c>
      <c r="C66" s="31" t="s">
        <v>21</v>
      </c>
      <c r="D66" s="31" t="s">
        <v>22</v>
      </c>
      <c r="E66" s="31" t="s">
        <v>23</v>
      </c>
      <c r="F66" s="31" t="s">
        <v>24</v>
      </c>
    </row>
    <row r="67" spans="1:6" ht="31.2" thickBot="1" x14ac:dyDescent="0.35">
      <c r="A67" s="12" t="s">
        <v>53</v>
      </c>
      <c r="B67" s="12" t="s">
        <v>53</v>
      </c>
      <c r="C67" s="12" t="s">
        <v>27</v>
      </c>
      <c r="D67" s="12" t="s">
        <v>28</v>
      </c>
      <c r="E67" s="12" t="s">
        <v>54</v>
      </c>
      <c r="F67" s="12"/>
    </row>
    <row r="68" spans="1:6" ht="15" thickBot="1" x14ac:dyDescent="0.35">
      <c r="A68" s="32" t="s">
        <v>30</v>
      </c>
      <c r="B68" s="33" t="s">
        <v>31</v>
      </c>
      <c r="C68" s="34">
        <v>45690</v>
      </c>
      <c r="D68" s="32" t="s">
        <v>32</v>
      </c>
      <c r="E68" s="35" t="s">
        <v>33</v>
      </c>
      <c r="F68" s="36" t="s">
        <v>34</v>
      </c>
    </row>
    <row r="69" spans="1:6" ht="15" thickBot="1" x14ac:dyDescent="0.35">
      <c r="A69" s="37"/>
      <c r="B69" s="33" t="s">
        <v>35</v>
      </c>
      <c r="C69" s="38">
        <f>IF(C68="","",IF(AND(MONTH(C68)&gt;=1,MONTH(C68)&lt;=3),1,IF(AND(MONTH(C68)&gt;=4,MONTH(C68)&lt;=6),2,IF(AND(MONTH(C68)&gt;=7,MONTH(C68)&lt;=9),3,4))))</f>
        <v>1</v>
      </c>
      <c r="D69" s="37"/>
      <c r="E69" s="35" t="s">
        <v>36</v>
      </c>
      <c r="F69" s="36" t="s">
        <v>37</v>
      </c>
    </row>
    <row r="70" spans="1:6" ht="15" thickBot="1" x14ac:dyDescent="0.35">
      <c r="A70" s="37"/>
      <c r="B70" s="33" t="s">
        <v>38</v>
      </c>
      <c r="C70" s="34">
        <v>45693</v>
      </c>
      <c r="D70" s="37"/>
      <c r="E70" s="35" t="s">
        <v>39</v>
      </c>
      <c r="F70" s="36" t="s">
        <v>37</v>
      </c>
    </row>
    <row r="71" spans="1:6" ht="15" thickBot="1" x14ac:dyDescent="0.35">
      <c r="A71" s="37"/>
      <c r="B71" s="33" t="s">
        <v>35</v>
      </c>
      <c r="C71" s="38">
        <f>IF(C70="","",IF(AND(MONTH(C70)&gt;=1,MONTH(C70)&lt;=3),1,IF(AND(MONTH(C70)&gt;=4,MONTH(C70)&lt;=6),2,IF(AND(MONTH(C70)&gt;=7,MONTH(C70)&lt;=9),3,4))))</f>
        <v>1</v>
      </c>
      <c r="D71" s="37"/>
      <c r="E71" s="35" t="s">
        <v>40</v>
      </c>
      <c r="F71" s="36"/>
    </row>
    <row r="72" spans="1:6" ht="15" thickBot="1" x14ac:dyDescent="0.35">
      <c r="A72" s="30"/>
      <c r="B72" s="30"/>
      <c r="C72" s="30"/>
      <c r="D72" s="30"/>
      <c r="E72" s="30"/>
      <c r="F72" s="30"/>
    </row>
    <row r="73" spans="1:6" ht="15" thickBot="1" x14ac:dyDescent="0.35">
      <c r="A73" s="39" t="s">
        <v>41</v>
      </c>
      <c r="B73" s="39" t="s">
        <v>42</v>
      </c>
      <c r="C73" s="39" t="s">
        <v>43</v>
      </c>
      <c r="D73" s="39" t="s">
        <v>44</v>
      </c>
      <c r="E73" s="39" t="s">
        <v>45</v>
      </c>
      <c r="F73" s="39" t="s">
        <v>46</v>
      </c>
    </row>
    <row r="74" spans="1:6" x14ac:dyDescent="0.3">
      <c r="A74" s="40" t="s">
        <v>55</v>
      </c>
      <c r="B74" s="41" t="str">
        <f ca="1">IFERROR(INDEX(UNSPSCDes,MATCH(INDIRECT(ADDRESS(ROW(),COLUMN()-1,4)),UNSPSCCode,0)),IF(INDIRECT(ADDRESS(ROW(),COLUMN()-1,4))="50111510","Carne de ave o carne fresca",""))</f>
        <v>Carne de ave o carne fresca</v>
      </c>
      <c r="C74" s="42" t="str">
        <f>IFERROR(VLOOKUP("LB",'[1]Informacion '!P:Q,2,FALSE),"")</f>
        <v>Libra </v>
      </c>
      <c r="D74" s="40">
        <v>810</v>
      </c>
      <c r="E74" s="43">
        <v>95</v>
      </c>
      <c r="F74" s="44">
        <f ca="1">INDIRECT(ADDRESS(ROW(),COLUMN()-2,4))*INDIRECT(ADDRESS(ROW(),COLUMN()-1,4))</f>
        <v>76950</v>
      </c>
    </row>
    <row r="75" spans="1:6" x14ac:dyDescent="0.3">
      <c r="A75" s="40" t="s">
        <v>55</v>
      </c>
      <c r="B75" s="41" t="str">
        <f ca="1">IFERROR(INDEX(UNSPSCDes,MATCH(INDIRECT(ADDRESS(ROW(),COLUMN()-1,4)),UNSPSCCode,0)),IF(INDIRECT(ADDRESS(ROW(),COLUMN()-1,4))="50111510","Carne de ave o carne fresca",""))</f>
        <v>Carne de ave o carne fresca</v>
      </c>
      <c r="C75" s="42" t="str">
        <f>IFERROR(VLOOKUP("LB",'[1]Informacion '!P:Q,2,FALSE),"")</f>
        <v>Libra </v>
      </c>
      <c r="D75" s="40">
        <v>630</v>
      </c>
      <c r="E75" s="43">
        <v>140</v>
      </c>
      <c r="F75" s="44">
        <f ca="1">INDIRECT(ADDRESS(ROW(),COLUMN()-2,4))*INDIRECT(ADDRESS(ROW(),COLUMN()-1,4))</f>
        <v>88200</v>
      </c>
    </row>
    <row r="76" spans="1:6" ht="20.399999999999999" x14ac:dyDescent="0.3">
      <c r="A76" s="40" t="s">
        <v>56</v>
      </c>
      <c r="B76" s="41" t="str">
        <f ca="1">IFERROR(INDEX(UNSPSCDes,MATCH(INDIRECT(ADDRESS(ROW(),COLUMN()-1,4)),UNSPSCCode,0)),IF(INDIRECT(ADDRESS(ROW(),COLUMN()-1,4))="50112002","Carnes procesadas y preparadas congelado",""))</f>
        <v>Carnes procesadas y preparadas congelado</v>
      </c>
      <c r="C76" s="42" t="str">
        <f>IFERROR(VLOOKUP("LB",'[1]Informacion '!P:Q,2,FALSE),"")</f>
        <v>Libra </v>
      </c>
      <c r="D76" s="40">
        <v>540</v>
      </c>
      <c r="E76" s="43">
        <v>140</v>
      </c>
      <c r="F76" s="44">
        <f ca="1">INDIRECT(ADDRESS(ROW(),COLUMN()-2,4))*INDIRECT(ADDRESS(ROW(),COLUMN()-1,4))</f>
        <v>75600</v>
      </c>
    </row>
    <row r="77" spans="1:6" ht="20.399999999999999" x14ac:dyDescent="0.3">
      <c r="A77" s="40" t="s">
        <v>56</v>
      </c>
      <c r="B77" s="41" t="str">
        <f ca="1">IFERROR(INDEX(UNSPSCDes,MATCH(INDIRECT(ADDRESS(ROW(),COLUMN()-1,4)),UNSPSCCode,0)),IF(INDIRECT(ADDRESS(ROW(),COLUMN()-1,4))="50112002","Carnes procesadas y preparadas congelado",""))</f>
        <v>Carnes procesadas y preparadas congelado</v>
      </c>
      <c r="C77" s="42" t="str">
        <f>IFERROR(VLOOKUP("LB",'[1]Informacion '!P:Q,2,FALSE),"")</f>
        <v>Libra </v>
      </c>
      <c r="D77" s="40">
        <v>300</v>
      </c>
      <c r="E77" s="43">
        <v>130</v>
      </c>
      <c r="F77" s="44">
        <f ca="1">INDIRECT(ADDRESS(ROW(),COLUMN()-2,4))*INDIRECT(ADDRESS(ROW(),COLUMN()-1,4))</f>
        <v>39000</v>
      </c>
    </row>
    <row r="78" spans="1:6" x14ac:dyDescent="0.3">
      <c r="A78" s="40" t="s">
        <v>55</v>
      </c>
      <c r="B78" s="41" t="str">
        <f ca="1">IFERROR(INDEX(UNSPSCDes,MATCH(INDIRECT(ADDRESS(ROW(),COLUMN()-1,4)),UNSPSCCode,0)),IF(INDIRECT(ADDRESS(ROW(),COLUMN()-1,4))="50111510","Carne de ave o carne fresca",""))</f>
        <v>Carne de ave o carne fresca</v>
      </c>
      <c r="C78" s="42" t="str">
        <f>IFERROR(VLOOKUP("LB",'[1]Informacion '!P:Q,2,FALSE),"")</f>
        <v>Libra </v>
      </c>
      <c r="D78" s="40">
        <v>255</v>
      </c>
      <c r="E78" s="43">
        <v>100</v>
      </c>
      <c r="F78" s="44">
        <f ca="1">INDIRECT(ADDRESS(ROW(),COLUMN()-2,4))*INDIRECT(ADDRESS(ROW(),COLUMN()-1,4))</f>
        <v>25500</v>
      </c>
    </row>
    <row r="79" spans="1:6" x14ac:dyDescent="0.3">
      <c r="A79" s="30"/>
      <c r="B79" s="30"/>
      <c r="C79" s="30"/>
      <c r="D79" s="30"/>
      <c r="E79" s="45" t="s">
        <v>52</v>
      </c>
      <c r="F79" s="46">
        <f ca="1">SUM(Table5[MONTO TOTAL ESTIMADO])</f>
        <v>305250</v>
      </c>
    </row>
    <row r="80" spans="1:6" ht="15" thickBot="1" x14ac:dyDescent="0.35">
      <c r="A80" s="30"/>
      <c r="B80" s="30"/>
      <c r="C80" s="30"/>
      <c r="D80" s="30"/>
      <c r="E80" s="30"/>
      <c r="F80" s="30"/>
    </row>
    <row r="81" spans="1:6" ht="21" thickBot="1" x14ac:dyDescent="0.35">
      <c r="A81" s="31" t="s">
        <v>19</v>
      </c>
      <c r="B81" s="31" t="s">
        <v>20</v>
      </c>
      <c r="C81" s="31" t="s">
        <v>21</v>
      </c>
      <c r="D81" s="31" t="s">
        <v>22</v>
      </c>
      <c r="E81" s="31" t="s">
        <v>23</v>
      </c>
      <c r="F81" s="31" t="s">
        <v>24</v>
      </c>
    </row>
    <row r="82" spans="1:6" ht="21" thickBot="1" x14ac:dyDescent="0.35">
      <c r="A82" s="12" t="s">
        <v>57</v>
      </c>
      <c r="B82" s="12" t="s">
        <v>58</v>
      </c>
      <c r="C82" s="12" t="s">
        <v>27</v>
      </c>
      <c r="D82" s="12" t="s">
        <v>28</v>
      </c>
      <c r="E82" s="12" t="s">
        <v>59</v>
      </c>
      <c r="F82" s="12"/>
    </row>
    <row r="83" spans="1:6" ht="15" thickBot="1" x14ac:dyDescent="0.35">
      <c r="A83" s="32" t="s">
        <v>30</v>
      </c>
      <c r="B83" s="33" t="s">
        <v>31</v>
      </c>
      <c r="C83" s="34">
        <v>45690</v>
      </c>
      <c r="D83" s="32" t="s">
        <v>32</v>
      </c>
      <c r="E83" s="35" t="s">
        <v>33</v>
      </c>
      <c r="F83" s="36" t="s">
        <v>34</v>
      </c>
    </row>
    <row r="84" spans="1:6" ht="15" thickBot="1" x14ac:dyDescent="0.35">
      <c r="A84" s="37"/>
      <c r="B84" s="33" t="s">
        <v>35</v>
      </c>
      <c r="C84" s="38">
        <f>IF(C83="","",IF(AND(MONTH(C83)&gt;=1,MONTH(C83)&lt;=3),1,IF(AND(MONTH(C83)&gt;=4,MONTH(C83)&lt;=6),2,IF(AND(MONTH(C83)&gt;=7,MONTH(C83)&lt;=9),3,4))))</f>
        <v>1</v>
      </c>
      <c r="D84" s="37"/>
      <c r="E84" s="35" t="s">
        <v>36</v>
      </c>
      <c r="F84" s="36" t="s">
        <v>37</v>
      </c>
    </row>
    <row r="85" spans="1:6" ht="15" thickBot="1" x14ac:dyDescent="0.35">
      <c r="A85" s="37"/>
      <c r="B85" s="33" t="s">
        <v>38</v>
      </c>
      <c r="C85" s="34">
        <v>45693</v>
      </c>
      <c r="D85" s="37"/>
      <c r="E85" s="35" t="s">
        <v>39</v>
      </c>
      <c r="F85" s="36" t="s">
        <v>37</v>
      </c>
    </row>
    <row r="86" spans="1:6" ht="15" thickBot="1" x14ac:dyDescent="0.35">
      <c r="A86" s="37"/>
      <c r="B86" s="33" t="s">
        <v>35</v>
      </c>
      <c r="C86" s="38">
        <f>IF(C85="","",IF(AND(MONTH(C85)&gt;=1,MONTH(C85)&lt;=3),1,IF(AND(MONTH(C85)&gt;=4,MONTH(C85)&lt;=6),2,IF(AND(MONTH(C85)&gt;=7,MONTH(C85)&lt;=9),3,4))))</f>
        <v>1</v>
      </c>
      <c r="D86" s="37"/>
      <c r="E86" s="35" t="s">
        <v>40</v>
      </c>
      <c r="F86" s="36"/>
    </row>
    <row r="87" spans="1:6" ht="15" thickBot="1" x14ac:dyDescent="0.35">
      <c r="A87" s="30"/>
      <c r="B87" s="30"/>
      <c r="C87" s="30"/>
      <c r="D87" s="30"/>
      <c r="E87" s="30"/>
      <c r="F87" s="30"/>
    </row>
    <row r="88" spans="1:6" ht="15" thickBot="1" x14ac:dyDescent="0.35">
      <c r="A88" s="39" t="s">
        <v>41</v>
      </c>
      <c r="B88" s="39" t="s">
        <v>42</v>
      </c>
      <c r="C88" s="39" t="s">
        <v>43</v>
      </c>
      <c r="D88" s="39" t="s">
        <v>44</v>
      </c>
      <c r="E88" s="39" t="s">
        <v>45</v>
      </c>
      <c r="F88" s="39" t="s">
        <v>46</v>
      </c>
    </row>
    <row r="89" spans="1:6" ht="20.399999999999999" x14ac:dyDescent="0.3">
      <c r="A89" s="40" t="s">
        <v>60</v>
      </c>
      <c r="B89" s="41" t="str">
        <f ca="1">IFERROR(INDEX(UNSPSCDes,MATCH(INDIRECT(ADDRESS(ROW(),COLUMN()-1,4)),UNSPSCCode,0)),IF(INDIRECT(ADDRESS(ROW(),COLUMN()-1,4))="50151513","Aceites vegetales o  de planta comestibles",""))</f>
        <v>Aceites vegetales o  de planta comestibles</v>
      </c>
      <c r="C89" s="42" t="str">
        <f>IFERROR(VLOOKUP("GAL",'[1]Informacion '!P:Q,2,FALSE),"")</f>
        <v>Galón</v>
      </c>
      <c r="D89" s="40">
        <v>17</v>
      </c>
      <c r="E89" s="43">
        <v>1500</v>
      </c>
      <c r="F89" s="44">
        <f t="shared" ref="F89:F116" ca="1" si="2">INDIRECT(ADDRESS(ROW(),COLUMN()-2,4))*INDIRECT(ADDRESS(ROW(),COLUMN()-1,4))</f>
        <v>25500</v>
      </c>
    </row>
    <row r="90" spans="1:6" x14ac:dyDescent="0.3">
      <c r="A90" s="40" t="s">
        <v>61</v>
      </c>
      <c r="B90" s="41" t="str">
        <f ca="1">IFERROR(INDEX(UNSPSCDes,MATCH(INDIRECT(ADDRESS(ROW(),COLUMN()-1,4)),UNSPSCCode,0)),IF(INDIRECT(ADDRESS(ROW(),COLUMN()-1,4))="50171552","Mezcla para adobar",""))</f>
        <v>Mezcla para adobar</v>
      </c>
      <c r="C90" s="42" t="str">
        <f>IFERROR(VLOOKUP("CAJ",'[1]Informacion '!P:Q,2,FALSE),"")</f>
        <v>Caja</v>
      </c>
      <c r="D90" s="40">
        <v>4</v>
      </c>
      <c r="E90" s="43">
        <v>2300</v>
      </c>
      <c r="F90" s="44">
        <f t="shared" ca="1" si="2"/>
        <v>9200</v>
      </c>
    </row>
    <row r="91" spans="1:6" ht="20.399999999999999" x14ac:dyDescent="0.3">
      <c r="A91" s="40" t="s">
        <v>62</v>
      </c>
      <c r="B91" s="41" t="str">
        <f ca="1">IFERROR(INDEX(UNSPSCDes,MATCH(INDIRECT(ADDRESS(ROW(),COLUMN()-1,4)),UNSPSCCode,0)),IF(INDIRECT(ADDRESS(ROW(),COLUMN()-1,4))="50161509","Azucares naturales o productos endulzantes",""))</f>
        <v>Azucares naturales o productos endulzantes</v>
      </c>
      <c r="C91" s="42" t="str">
        <f>IFERROR(VLOOKUP("UD",'[1]Informacion '!P:Q,2,FALSE),"")</f>
        <v>Unidad</v>
      </c>
      <c r="D91" s="40">
        <v>5</v>
      </c>
      <c r="E91" s="43">
        <v>5000</v>
      </c>
      <c r="F91" s="44">
        <f t="shared" ca="1" si="2"/>
        <v>25000</v>
      </c>
    </row>
    <row r="92" spans="1:6" x14ac:dyDescent="0.3">
      <c r="A92" s="40" t="s">
        <v>63</v>
      </c>
      <c r="B92" s="41" t="str">
        <f ca="1">IFERROR(INDEX(UNSPSCDes,MATCH(INDIRECT(ADDRESS(ROW(),COLUMN()-1,4)),UNSPSCCode,0)),IF(INDIRECT(ADDRESS(ROW(),COLUMN()-1,4))="50192902","Pasta o fideos de repisa",""))</f>
        <v>Pasta o fideos de repisa</v>
      </c>
      <c r="C92" s="42" t="str">
        <f>IFERROR(VLOOKUP("UD",'[1]Informacion '!P:Q,2,FALSE),"")</f>
        <v>Unidad</v>
      </c>
      <c r="D92" s="40">
        <v>4</v>
      </c>
      <c r="E92" s="43">
        <v>500</v>
      </c>
      <c r="F92" s="44">
        <f t="shared" ca="1" si="2"/>
        <v>2000</v>
      </c>
    </row>
    <row r="93" spans="1:6" x14ac:dyDescent="0.3">
      <c r="A93" s="40" t="s">
        <v>64</v>
      </c>
      <c r="B93" s="41" t="str">
        <f ca="1">IFERROR(INDEX(UNSPSCDes,MATCH(INDIRECT(ADDRESS(ROW(),COLUMN()-1,4)),UNSPSCCode,0)),IF(INDIRECT(ADDRESS(ROW(),COLUMN()-1,4))="50221001","Granos",""))</f>
        <v>Granos</v>
      </c>
      <c r="C93" s="42" t="str">
        <f>IFERROR(VLOOKUP("UD",'[1]Informacion '!P:Q,2,FALSE),"")</f>
        <v>Unidad</v>
      </c>
      <c r="D93" s="40">
        <v>21</v>
      </c>
      <c r="E93" s="43">
        <v>650</v>
      </c>
      <c r="F93" s="44">
        <f t="shared" ca="1" si="2"/>
        <v>13650</v>
      </c>
    </row>
    <row r="94" spans="1:6" x14ac:dyDescent="0.3">
      <c r="A94" s="40" t="s">
        <v>64</v>
      </c>
      <c r="B94" s="41" t="str">
        <f ca="1">IFERROR(INDEX(UNSPSCDes,MATCH(INDIRECT(ADDRESS(ROW(),COLUMN()-1,4)),UNSPSCCode,0)),IF(INDIRECT(ADDRESS(ROW(),COLUMN()-1,4))="50221001","Granos",""))</f>
        <v>Granos</v>
      </c>
      <c r="C94" s="42" t="str">
        <f>IFERROR(VLOOKUP("LB",'[1]Informacion '!P:Q,2,FALSE),"")</f>
        <v>Libra </v>
      </c>
      <c r="D94" s="40">
        <v>200</v>
      </c>
      <c r="E94" s="43">
        <v>60</v>
      </c>
      <c r="F94" s="44">
        <f t="shared" ca="1" si="2"/>
        <v>12000</v>
      </c>
    </row>
    <row r="95" spans="1:6" x14ac:dyDescent="0.3">
      <c r="A95" s="40" t="s">
        <v>64</v>
      </c>
      <c r="B95" s="41" t="str">
        <f ca="1">IFERROR(INDEX(UNSPSCDes,MATCH(INDIRECT(ADDRESS(ROW(),COLUMN()-1,4)),UNSPSCCode,0)),IF(INDIRECT(ADDRESS(ROW(),COLUMN()-1,4))="50221001","Granos",""))</f>
        <v>Granos</v>
      </c>
      <c r="C95" s="42" t="str">
        <f>IFERROR(VLOOKUP("LB",'[1]Informacion '!P:Q,2,FALSE),"")</f>
        <v>Libra </v>
      </c>
      <c r="D95" s="40">
        <v>75</v>
      </c>
      <c r="E95" s="43">
        <v>55</v>
      </c>
      <c r="F95" s="44">
        <f t="shared" ca="1" si="2"/>
        <v>4125</v>
      </c>
    </row>
    <row r="96" spans="1:6" x14ac:dyDescent="0.3">
      <c r="A96" s="40" t="s">
        <v>64</v>
      </c>
      <c r="B96" s="41" t="str">
        <f ca="1">IFERROR(INDEX(UNSPSCDes,MATCH(INDIRECT(ADDRESS(ROW(),COLUMN()-1,4)),UNSPSCCode,0)),IF(INDIRECT(ADDRESS(ROW(),COLUMN()-1,4))="50221001","Granos",""))</f>
        <v>Granos</v>
      </c>
      <c r="C96" s="42" t="str">
        <f>IFERROR(VLOOKUP("UD",'[1]Informacion '!P:Q,2,FALSE),"")</f>
        <v>Unidad</v>
      </c>
      <c r="D96" s="40">
        <v>21</v>
      </c>
      <c r="E96" s="43">
        <v>400</v>
      </c>
      <c r="F96" s="44">
        <f t="shared" ca="1" si="2"/>
        <v>8400</v>
      </c>
    </row>
    <row r="97" spans="1:6" x14ac:dyDescent="0.3">
      <c r="A97" s="40" t="s">
        <v>65</v>
      </c>
      <c r="B97" s="41" t="str">
        <f ca="1">IFERROR(INDEX(UNSPSCDes,MATCH(INDIRECT(ADDRESS(ROW(),COLUMN()-1,4)),UNSPSCCode,0)),IF(INDIRECT(ADDRESS(ROW(),COLUMN()-1,4))="50171832","Salsas para ensaladas o dips",""))</f>
        <v>Salsas para ensaladas o dips</v>
      </c>
      <c r="C97" s="42" t="str">
        <f>IFERROR(VLOOKUP("GAL",'[1]Informacion '!P:Q,2,FALSE),"")</f>
        <v>Galón</v>
      </c>
      <c r="D97" s="40">
        <v>3</v>
      </c>
      <c r="E97" s="43">
        <v>750</v>
      </c>
      <c r="F97" s="44">
        <f t="shared" ca="1" si="2"/>
        <v>2250</v>
      </c>
    </row>
    <row r="98" spans="1:6" x14ac:dyDescent="0.3">
      <c r="A98" s="40" t="s">
        <v>63</v>
      </c>
      <c r="B98" s="41" t="str">
        <f ca="1">IFERROR(INDEX(UNSPSCDes,MATCH(INDIRECT(ADDRESS(ROW(),COLUMN()-1,4)),UNSPSCCode,0)),IF(INDIRECT(ADDRESS(ROW(),COLUMN()-1,4))="50192902","Pasta o fideos de repisa",""))</f>
        <v>Pasta o fideos de repisa</v>
      </c>
      <c r="C98" s="42" t="str">
        <f>IFERROR(VLOOKUP("UD",'[1]Informacion '!P:Q,2,FALSE),"")</f>
        <v>Unidad</v>
      </c>
      <c r="D98" s="40">
        <v>12</v>
      </c>
      <c r="E98" s="43">
        <v>460</v>
      </c>
      <c r="F98" s="44">
        <f t="shared" ca="1" si="2"/>
        <v>5520</v>
      </c>
    </row>
    <row r="99" spans="1:6" x14ac:dyDescent="0.3">
      <c r="A99" s="40" t="s">
        <v>66</v>
      </c>
      <c r="B99" s="41" t="str">
        <f ca="1">IFERROR(INDEX(UNSPSCDes,MATCH(INDIRECT(ADDRESS(ROW(),COLUMN()-1,4)),UNSPSCCode,0)),IF(INDIRECT(ADDRESS(ROW(),COLUMN()-1,4))="50171831","Salsas para cocinar",""))</f>
        <v>Salsas para cocinar</v>
      </c>
      <c r="C99" s="42" t="str">
        <f>IFERROR(VLOOKUP("UD",'[1]Informacion '!P:Q,2,FALSE),"")</f>
        <v>Unidad</v>
      </c>
      <c r="D99" s="40">
        <v>18</v>
      </c>
      <c r="E99" s="43">
        <v>550</v>
      </c>
      <c r="F99" s="44">
        <f t="shared" ca="1" si="2"/>
        <v>9900</v>
      </c>
    </row>
    <row r="100" spans="1:6" x14ac:dyDescent="0.3">
      <c r="A100" s="40" t="s">
        <v>67</v>
      </c>
      <c r="B100" s="41" t="str">
        <f ca="1">IFERROR(INDEX(UNSPSCDes,MATCH(INDIRECT(ADDRESS(ROW(),COLUMN()-1,4)),UNSPSCCode,0)),IF(INDIRECT(ADDRESS(ROW(),COLUMN()-1,4))="50131802","Queso procesado",""))</f>
        <v>Queso procesado</v>
      </c>
      <c r="C100" s="42" t="str">
        <f>IFERROR(VLOOKUP("LB",'[1]Informacion '!P:Q,2,FALSE),"")</f>
        <v>Libra </v>
      </c>
      <c r="D100" s="40">
        <v>20</v>
      </c>
      <c r="E100" s="43">
        <v>225</v>
      </c>
      <c r="F100" s="44">
        <f t="shared" ca="1" si="2"/>
        <v>4500</v>
      </c>
    </row>
    <row r="101" spans="1:6" x14ac:dyDescent="0.3">
      <c r="A101" s="40" t="s">
        <v>64</v>
      </c>
      <c r="B101" s="41" t="str">
        <f ca="1">IFERROR(INDEX(UNSPSCDes,MATCH(INDIRECT(ADDRESS(ROW(),COLUMN()-1,4)),UNSPSCCode,0)),IF(INDIRECT(ADDRESS(ROW(),COLUMN()-1,4))="50221001","Granos",""))</f>
        <v>Granos</v>
      </c>
      <c r="C101" s="42" t="str">
        <f>IFERROR(VLOOKUP("UD",'[1]Informacion '!P:Q,2,FALSE),"")</f>
        <v>Unidad</v>
      </c>
      <c r="D101" s="40">
        <v>36</v>
      </c>
      <c r="E101" s="43">
        <v>5000</v>
      </c>
      <c r="F101" s="44">
        <f t="shared" ca="1" si="2"/>
        <v>180000</v>
      </c>
    </row>
    <row r="102" spans="1:6" x14ac:dyDescent="0.3">
      <c r="A102" s="40" t="s">
        <v>68</v>
      </c>
      <c r="B102" s="41" t="str">
        <f ca="1">IFERROR(INDEX(UNSPSCDes,MATCH(INDIRECT(ADDRESS(ROW(),COLUMN()-1,4)),UNSPSCCode,0)),IF(INDIRECT(ADDRESS(ROW(),COLUMN()-1,4))="50171551","Sal de mesa",""))</f>
        <v>Sal de mesa</v>
      </c>
      <c r="C102" s="42" t="str">
        <f>IFERROR(VLOOKUP("UD",'[1]Informacion '!P:Q,2,FALSE),"")</f>
        <v>Unidad</v>
      </c>
      <c r="D102" s="40">
        <v>2</v>
      </c>
      <c r="E102" s="43">
        <v>1200</v>
      </c>
      <c r="F102" s="44">
        <f t="shared" ca="1" si="2"/>
        <v>2400</v>
      </c>
    </row>
    <row r="103" spans="1:6" x14ac:dyDescent="0.3">
      <c r="A103" s="40" t="s">
        <v>69</v>
      </c>
      <c r="B103" s="41" t="str">
        <f ca="1">IFERROR(INDEX(UNSPSCDes,MATCH(INDIRECT(ADDRESS(ROW(),COLUMN()-1,4)),UNSPSCCode,0)),IF(INDIRECT(ADDRESS(ROW(),COLUMN()-1,4))="50171707","Vinagres",""))</f>
        <v>Vinagres</v>
      </c>
      <c r="C103" s="42" t="str">
        <f>IFERROR(VLOOKUP("GAL",'[1]Informacion '!P:Q,2,FALSE),"")</f>
        <v>Galón</v>
      </c>
      <c r="D103" s="40">
        <v>12</v>
      </c>
      <c r="E103" s="43">
        <v>200</v>
      </c>
      <c r="F103" s="44">
        <f t="shared" ca="1" si="2"/>
        <v>2400</v>
      </c>
    </row>
    <row r="104" spans="1:6" ht="20.399999999999999" x14ac:dyDescent="0.3">
      <c r="A104" s="40" t="s">
        <v>70</v>
      </c>
      <c r="B104" s="41" t="str">
        <f ca="1">IFERROR(INDEX(UNSPSCDes,MATCH(INDIRECT(ADDRESS(ROW(),COLUMN()-1,4)),UNSPSCCode,0)),IF(INDIRECT(ADDRESS(ROW(),COLUMN()-1,4))="50131702","Productos de leche o mantequilla de estante",""))</f>
        <v>Productos de leche o mantequilla de estante</v>
      </c>
      <c r="C104" s="42" t="str">
        <f>IFERROR(VLOOKUP("UD",'[1]Informacion '!P:Q,2,FALSE),"")</f>
        <v>Unidad</v>
      </c>
      <c r="D104" s="40">
        <v>300</v>
      </c>
      <c r="E104" s="43">
        <v>25</v>
      </c>
      <c r="F104" s="44">
        <f t="shared" ca="1" si="2"/>
        <v>7500</v>
      </c>
    </row>
    <row r="105" spans="1:6" x14ac:dyDescent="0.3">
      <c r="A105" s="40" t="s">
        <v>71</v>
      </c>
      <c r="B105" s="41" t="str">
        <f ca="1">IFERROR(INDEX(UNSPSCDes,MATCH(INDIRECT(ADDRESS(ROW(),COLUMN()-1,4)),UNSPSCCode,0)),IF(INDIRECT(ADDRESS(ROW(),COLUMN()-1,4))="50171550","Especies o extractos",""))</f>
        <v>Especies o extractos</v>
      </c>
      <c r="C105" s="42" t="str">
        <f>IFERROR(VLOOKUP("LB",'[1]Informacion '!P:Q,2,FALSE),"")</f>
        <v>Libra </v>
      </c>
      <c r="D105" s="40">
        <v>3</v>
      </c>
      <c r="E105" s="43">
        <v>480</v>
      </c>
      <c r="F105" s="44">
        <f t="shared" ca="1" si="2"/>
        <v>1440</v>
      </c>
    </row>
    <row r="106" spans="1:6" x14ac:dyDescent="0.3">
      <c r="A106" s="40" t="s">
        <v>72</v>
      </c>
      <c r="B106" s="41" t="str">
        <f ca="1">IFERROR(INDEX(UNSPSCDes,MATCH(INDIRECT(ADDRESS(ROW(),COLUMN()-1,4)),UNSPSCCode,0)),IF(INDIRECT(ADDRESS(ROW(),COLUMN()-1,4))="50193002","Bebidas para infantes",""))</f>
        <v>Bebidas para infantes</v>
      </c>
      <c r="C106" s="42" t="str">
        <f>IFERROR(VLOOKUP("UD",'[1]Informacion '!P:Q,2,FALSE),"")</f>
        <v>Unidad</v>
      </c>
      <c r="D106" s="40">
        <v>250</v>
      </c>
      <c r="E106" s="43">
        <v>20</v>
      </c>
      <c r="F106" s="44">
        <f t="shared" ca="1" si="2"/>
        <v>5000</v>
      </c>
    </row>
    <row r="107" spans="1:6" x14ac:dyDescent="0.3">
      <c r="A107" s="40" t="s">
        <v>73</v>
      </c>
      <c r="B107" s="41" t="str">
        <f ca="1">IFERROR(INDEX(UNSPSCDes,MATCH(INDIRECT(ADDRESS(ROW(),COLUMN()-1,4)),UNSPSCCode,0)),IF(INDIRECT(ADDRESS(ROW(),COLUMN()-1,4))="50192112","Maíz pira",""))</f>
        <v>Maíz pira</v>
      </c>
      <c r="C107" s="42" t="str">
        <f>IFERROR(VLOOKUP("PAQ",'[1]Informacion '!P:Q,2,FALSE),"")</f>
        <v>Paquete</v>
      </c>
      <c r="D107" s="40">
        <v>6</v>
      </c>
      <c r="E107" s="43">
        <v>70</v>
      </c>
      <c r="F107" s="44">
        <f t="shared" ca="1" si="2"/>
        <v>420</v>
      </c>
    </row>
    <row r="108" spans="1:6" x14ac:dyDescent="0.3">
      <c r="A108" s="40" t="s">
        <v>74</v>
      </c>
      <c r="B108" s="41" t="str">
        <f ca="1">IFERROR(INDEX(UNSPSCDes,MATCH(INDIRECT(ADDRESS(ROW(),COLUMN()-1,4)),UNSPSCCode,0)),IF(INDIRECT(ADDRESS(ROW(),COLUMN()-1,4))="50181903","Galletas sencillas de sal",""))</f>
        <v>Galletas sencillas de sal</v>
      </c>
      <c r="C108" s="42" t="str">
        <f>IFERROR(VLOOKUP("PAQ",'[1]Informacion '!P:Q,2,FALSE),"")</f>
        <v>Paquete</v>
      </c>
      <c r="D108" s="40">
        <v>18</v>
      </c>
      <c r="E108" s="43">
        <v>65</v>
      </c>
      <c r="F108" s="44">
        <f t="shared" ca="1" si="2"/>
        <v>1170</v>
      </c>
    </row>
    <row r="109" spans="1:6" x14ac:dyDescent="0.3">
      <c r="A109" s="40" t="s">
        <v>72</v>
      </c>
      <c r="B109" s="41" t="str">
        <f ca="1">IFERROR(INDEX(UNSPSCDes,MATCH(INDIRECT(ADDRESS(ROW(),COLUMN()-1,4)),UNSPSCCode,0)),IF(INDIRECT(ADDRESS(ROW(),COLUMN()-1,4))="50193002","Bebidas para infantes",""))</f>
        <v>Bebidas para infantes</v>
      </c>
      <c r="C109" s="42" t="str">
        <f>IFERROR(VLOOKUP("UD",'[1]Informacion '!P:Q,2,FALSE),"")</f>
        <v>Unidad</v>
      </c>
      <c r="D109" s="40">
        <v>130</v>
      </c>
      <c r="E109" s="43">
        <v>35</v>
      </c>
      <c r="F109" s="44">
        <f t="shared" ca="1" si="2"/>
        <v>4550</v>
      </c>
    </row>
    <row r="110" spans="1:6" x14ac:dyDescent="0.3">
      <c r="A110" s="40" t="s">
        <v>75</v>
      </c>
      <c r="B110" s="41" t="str">
        <f ca="1">IFERROR(INDEX(UNSPSCDes,MATCH(INDIRECT(ADDRESS(ROW(),COLUMN()-1,4)),UNSPSCCode,0)),IF(INDIRECT(ADDRESS(ROW(),COLUMN()-1,4))="50192404","Cristales de gelatina o mermelada",""))</f>
        <v>Cristales de gelatina o mermelada</v>
      </c>
      <c r="C110" s="42" t="str">
        <f>IFERROR(VLOOKUP("UD",'[1]Informacion '!P:Q,2,FALSE),"")</f>
        <v>Unidad</v>
      </c>
      <c r="D110" s="40">
        <v>120</v>
      </c>
      <c r="E110" s="43">
        <v>35</v>
      </c>
      <c r="F110" s="44">
        <f t="shared" ca="1" si="2"/>
        <v>4200</v>
      </c>
    </row>
    <row r="111" spans="1:6" x14ac:dyDescent="0.3">
      <c r="A111" s="40" t="s">
        <v>76</v>
      </c>
      <c r="B111" s="41" t="str">
        <f ca="1">IFERROR(INDEX(UNSPSCDes,MATCH(INDIRECT(ADDRESS(ROW(),COLUMN()-1,4)),UNSPSCCode,0)),IF(INDIRECT(ADDRESS(ROW(),COLUMN()-1,4))="50221101","Grano de cereal",""))</f>
        <v>Grano de cereal</v>
      </c>
      <c r="C111" s="42" t="str">
        <f>IFERROR(VLOOKUP("UD",'[1]Informacion '!P:Q,2,FALSE),"")</f>
        <v>Unidad</v>
      </c>
      <c r="D111" s="40">
        <v>6</v>
      </c>
      <c r="E111" s="43">
        <v>400</v>
      </c>
      <c r="F111" s="44">
        <f t="shared" ca="1" si="2"/>
        <v>2400</v>
      </c>
    </row>
    <row r="112" spans="1:6" x14ac:dyDescent="0.3">
      <c r="A112" s="40" t="s">
        <v>76</v>
      </c>
      <c r="B112" s="41" t="str">
        <f ca="1">IFERROR(INDEX(UNSPSCDes,MATCH(INDIRECT(ADDRESS(ROW(),COLUMN()-1,4)),UNSPSCCode,0)),IF(INDIRECT(ADDRESS(ROW(),COLUMN()-1,4))="50221101","Grano de cereal",""))</f>
        <v>Grano de cereal</v>
      </c>
      <c r="C112" s="42" t="str">
        <f>IFERROR(VLOOKUP("UD",'[1]Informacion '!P:Q,2,FALSE),"")</f>
        <v>Unidad</v>
      </c>
      <c r="D112" s="40">
        <v>90</v>
      </c>
      <c r="E112" s="43">
        <v>250</v>
      </c>
      <c r="F112" s="44">
        <f t="shared" ca="1" si="2"/>
        <v>22500</v>
      </c>
    </row>
    <row r="113" spans="1:6" x14ac:dyDescent="0.3">
      <c r="A113" s="40" t="s">
        <v>77</v>
      </c>
      <c r="B113" s="41" t="str">
        <f ca="1">IFERROR(INDEX(UNSPSCDes,MATCH(INDIRECT(ADDRESS(ROW(),COLUMN()-1,4)),UNSPSCCode,0)),IF(INDIRECT(ADDRESS(ROW(),COLUMN()-1,4))="50192110","Nueces o fruta disecada",""))</f>
        <v>Nueces o fruta disecada</v>
      </c>
      <c r="C113" s="42" t="str">
        <f>IFERROR(VLOOKUP("CAJ",'[1]Informacion '!P:Q,2,FALSE),"")</f>
        <v>Caja</v>
      </c>
      <c r="D113" s="40">
        <v>6</v>
      </c>
      <c r="E113" s="43">
        <v>150</v>
      </c>
      <c r="F113" s="44">
        <f t="shared" ca="1" si="2"/>
        <v>900</v>
      </c>
    </row>
    <row r="114" spans="1:6" x14ac:dyDescent="0.3">
      <c r="A114" s="40" t="s">
        <v>76</v>
      </c>
      <c r="B114" s="41" t="str">
        <f ca="1">IFERROR(INDEX(UNSPSCDes,MATCH(INDIRECT(ADDRESS(ROW(),COLUMN()-1,4)),UNSPSCCode,0)),IF(INDIRECT(ADDRESS(ROW(),COLUMN()-1,4))="50221101","Grano de cereal",""))</f>
        <v>Grano de cereal</v>
      </c>
      <c r="C114" s="42" t="str">
        <f>IFERROR(VLOOKUP("UD",'[1]Informacion '!P:Q,2,FALSE),"")</f>
        <v>Unidad</v>
      </c>
      <c r="D114" s="40">
        <v>4</v>
      </c>
      <c r="E114" s="43">
        <v>750</v>
      </c>
      <c r="F114" s="44">
        <f t="shared" ca="1" si="2"/>
        <v>3000</v>
      </c>
    </row>
    <row r="115" spans="1:6" x14ac:dyDescent="0.3">
      <c r="A115" s="40" t="s">
        <v>78</v>
      </c>
      <c r="B115" s="41" t="str">
        <f ca="1">IFERROR(INDEX(UNSPSCDes,MATCH(INDIRECT(ADDRESS(ROW(),COLUMN()-1,4)),UNSPSCCode,0)),IF(INDIRECT(ADDRESS(ROW(),COLUMN()-1,4))="50202304","Jugos de repisa",""))</f>
        <v>Jugos de repisa</v>
      </c>
      <c r="C115" s="42" t="str">
        <f>IFERROR(VLOOKUP("L",'[1]Informacion '!P:Q,2,FALSE),"")</f>
        <v>Litro</v>
      </c>
      <c r="D115" s="40">
        <v>54</v>
      </c>
      <c r="E115" s="43">
        <v>75</v>
      </c>
      <c r="F115" s="44">
        <f t="shared" ca="1" si="2"/>
        <v>4050</v>
      </c>
    </row>
    <row r="116" spans="1:6" ht="20.399999999999999" x14ac:dyDescent="0.3">
      <c r="A116" s="40" t="s">
        <v>70</v>
      </c>
      <c r="B116" s="41" t="str">
        <f ca="1">IFERROR(INDEX(UNSPSCDes,MATCH(INDIRECT(ADDRESS(ROW(),COLUMN()-1,4)),UNSPSCCode,0)),IF(INDIRECT(ADDRESS(ROW(),COLUMN()-1,4))="50131702","Productos de leche o mantequilla de estante",""))</f>
        <v>Productos de leche o mantequilla de estante</v>
      </c>
      <c r="C116" s="42" t="str">
        <f>IFERROR(VLOOKUP("UD",'[1]Informacion '!P:Q,2,FALSE),"")</f>
        <v>Unidad</v>
      </c>
      <c r="D116" s="40">
        <v>4</v>
      </c>
      <c r="E116" s="43">
        <v>1250</v>
      </c>
      <c r="F116" s="44">
        <f t="shared" ca="1" si="2"/>
        <v>5000</v>
      </c>
    </row>
    <row r="117" spans="1:6" x14ac:dyDescent="0.3">
      <c r="A117" s="30"/>
      <c r="B117" s="30"/>
      <c r="C117" s="30"/>
      <c r="D117" s="30"/>
      <c r="E117" s="45" t="s">
        <v>52</v>
      </c>
      <c r="F117" s="46">
        <f ca="1">SUM(Table6[MONTO TOTAL ESTIMADO])</f>
        <v>368975</v>
      </c>
    </row>
    <row r="118" spans="1:6" ht="15" thickBot="1" x14ac:dyDescent="0.35">
      <c r="A118" s="30"/>
      <c r="B118" s="30"/>
      <c r="C118" s="30"/>
      <c r="D118" s="30"/>
      <c r="E118" s="30"/>
      <c r="F118" s="30"/>
    </row>
    <row r="119" spans="1:6" ht="21" thickBot="1" x14ac:dyDescent="0.35">
      <c r="A119" s="31" t="s">
        <v>19</v>
      </c>
      <c r="B119" s="31" t="s">
        <v>20</v>
      </c>
      <c r="C119" s="31" t="s">
        <v>21</v>
      </c>
      <c r="D119" s="31" t="s">
        <v>22</v>
      </c>
      <c r="E119" s="31" t="s">
        <v>23</v>
      </c>
      <c r="F119" s="31" t="s">
        <v>24</v>
      </c>
    </row>
    <row r="120" spans="1:6" ht="21" thickBot="1" x14ac:dyDescent="0.35">
      <c r="A120" s="12" t="s">
        <v>79</v>
      </c>
      <c r="B120" s="12" t="s">
        <v>79</v>
      </c>
      <c r="C120" s="12" t="s">
        <v>27</v>
      </c>
      <c r="D120" s="12" t="s">
        <v>80</v>
      </c>
      <c r="E120" s="12" t="s">
        <v>29</v>
      </c>
      <c r="F120" s="12"/>
    </row>
    <row r="121" spans="1:6" ht="15" thickBot="1" x14ac:dyDescent="0.35">
      <c r="A121" s="32" t="s">
        <v>30</v>
      </c>
      <c r="B121" s="33" t="s">
        <v>31</v>
      </c>
      <c r="C121" s="34">
        <v>45697</v>
      </c>
      <c r="D121" s="32" t="s">
        <v>32</v>
      </c>
      <c r="E121" s="35" t="s">
        <v>33</v>
      </c>
      <c r="F121" s="36" t="s">
        <v>34</v>
      </c>
    </row>
    <row r="122" spans="1:6" ht="15" thickBot="1" x14ac:dyDescent="0.35">
      <c r="A122" s="37"/>
      <c r="B122" s="33" t="s">
        <v>35</v>
      </c>
      <c r="C122" s="38">
        <f>IF(C121="","",IF(AND(MONTH(C121)&gt;=1,MONTH(C121)&lt;=3),1,IF(AND(MONTH(C121)&gt;=4,MONTH(C121)&lt;=6),2,IF(AND(MONTH(C121)&gt;=7,MONTH(C121)&lt;=9),3,4))))</f>
        <v>1</v>
      </c>
      <c r="D122" s="37"/>
      <c r="E122" s="35" t="s">
        <v>36</v>
      </c>
      <c r="F122" s="36" t="s">
        <v>37</v>
      </c>
    </row>
    <row r="123" spans="1:6" ht="15" thickBot="1" x14ac:dyDescent="0.35">
      <c r="A123" s="37"/>
      <c r="B123" s="33" t="s">
        <v>38</v>
      </c>
      <c r="C123" s="34">
        <v>45698</v>
      </c>
      <c r="D123" s="37"/>
      <c r="E123" s="35" t="s">
        <v>39</v>
      </c>
      <c r="F123" s="36" t="s">
        <v>37</v>
      </c>
    </row>
    <row r="124" spans="1:6" ht="15" thickBot="1" x14ac:dyDescent="0.35">
      <c r="A124" s="37"/>
      <c r="B124" s="33" t="s">
        <v>35</v>
      </c>
      <c r="C124" s="38">
        <f>IF(C123="","",IF(AND(MONTH(C123)&gt;=1,MONTH(C123)&lt;=3),1,IF(AND(MONTH(C123)&gt;=4,MONTH(C123)&lt;=6),2,IF(AND(MONTH(C123)&gt;=7,MONTH(C123)&lt;=9),3,4))))</f>
        <v>1</v>
      </c>
      <c r="D124" s="37"/>
      <c r="E124" s="35" t="s">
        <v>40</v>
      </c>
      <c r="F124" s="36"/>
    </row>
    <row r="125" spans="1:6" ht="15" thickBot="1" x14ac:dyDescent="0.35">
      <c r="A125" s="30"/>
      <c r="B125" s="30"/>
      <c r="C125" s="30"/>
      <c r="D125" s="30"/>
      <c r="E125" s="30"/>
      <c r="F125" s="30"/>
    </row>
    <row r="126" spans="1:6" ht="15" thickBot="1" x14ac:dyDescent="0.35">
      <c r="A126" s="39" t="s">
        <v>41</v>
      </c>
      <c r="B126" s="39" t="s">
        <v>42</v>
      </c>
      <c r="C126" s="39" t="s">
        <v>43</v>
      </c>
      <c r="D126" s="39" t="s">
        <v>44</v>
      </c>
      <c r="E126" s="39" t="s">
        <v>45</v>
      </c>
      <c r="F126" s="39" t="s">
        <v>46</v>
      </c>
    </row>
    <row r="127" spans="1:6" x14ac:dyDescent="0.3">
      <c r="A127" s="40" t="s">
        <v>81</v>
      </c>
      <c r="B127" s="41" t="str">
        <f ca="1">IFERROR(INDEX(UNSPSCDes,MATCH(INDIRECT(ADDRESS(ROW(),COLUMN()-1,4)),UNSPSCCode,0)),IF(INDIRECT(ADDRESS(ROW(),COLUMN()-1,4))="14111506","Papel para impresión de computadores",""))</f>
        <v>Papel para impresión de computadores</v>
      </c>
      <c r="C127" s="42" t="str">
        <f>IFERROR(VLOOKUP("RESMA",'[1]Informacion '!P:Q,2,FALSE),"")</f>
        <v>Resma</v>
      </c>
      <c r="D127" s="40">
        <v>120</v>
      </c>
      <c r="E127" s="43">
        <v>400</v>
      </c>
      <c r="F127" s="44">
        <f t="shared" ref="F127:F138" ca="1" si="3">INDIRECT(ADDRESS(ROW(),COLUMN()-2,4))*INDIRECT(ADDRESS(ROW(),COLUMN()-1,4))</f>
        <v>48000</v>
      </c>
    </row>
    <row r="128" spans="1:6" x14ac:dyDescent="0.3">
      <c r="A128" s="40" t="s">
        <v>82</v>
      </c>
      <c r="B128" s="41" t="str">
        <f ca="1">IFERROR(INDEX(UNSPSCDes,MATCH(INDIRECT(ADDRESS(ROW(),COLUMN()-1,4)),UNSPSCCode,0)),IF(INDIRECT(ADDRESS(ROW(),COLUMN()-1,4))="31201610","Pegamentos",""))</f>
        <v>Pegamentos</v>
      </c>
      <c r="C128" s="42" t="str">
        <f>IFERROR(VLOOKUP("UD",'[1]Informacion '!P:Q,2,FALSE),"")</f>
        <v>Unidad</v>
      </c>
      <c r="D128" s="40">
        <v>12</v>
      </c>
      <c r="E128" s="43">
        <v>185</v>
      </c>
      <c r="F128" s="44">
        <f t="shared" ca="1" si="3"/>
        <v>2220</v>
      </c>
    </row>
    <row r="129" spans="1:6" x14ac:dyDescent="0.3">
      <c r="A129" s="40" t="s">
        <v>83</v>
      </c>
      <c r="B129" s="41" t="str">
        <f ca="1">IFERROR(INDEX(UNSPSCDes,MATCH(INDIRECT(ADDRESS(ROW(),COLUMN()-1,4)),UNSPSCCode,0)),IF(INDIRECT(ADDRESS(ROW(),COLUMN()-1,4))="44122104","Clips para papel",""))</f>
        <v>Clips para papel</v>
      </c>
      <c r="C129" s="42" t="str">
        <f>IFERROR(VLOOKUP("CAJ",'[1]Informacion '!P:Q,2,FALSE),"")</f>
        <v>Caja</v>
      </c>
      <c r="D129" s="40">
        <v>12</v>
      </c>
      <c r="E129" s="43">
        <v>35</v>
      </c>
      <c r="F129" s="44">
        <f t="shared" ca="1" si="3"/>
        <v>420</v>
      </c>
    </row>
    <row r="130" spans="1:6" x14ac:dyDescent="0.3">
      <c r="A130" s="40" t="s">
        <v>83</v>
      </c>
      <c r="B130" s="41" t="str">
        <f ca="1">IFERROR(INDEX(UNSPSCDes,MATCH(INDIRECT(ADDRESS(ROW(),COLUMN()-1,4)),UNSPSCCode,0)),IF(INDIRECT(ADDRESS(ROW(),COLUMN()-1,4))="44122104","Clips para papel",""))</f>
        <v>Clips para papel</v>
      </c>
      <c r="C130" s="42" t="str">
        <f>IFERROR(VLOOKUP("CAJ",'[1]Informacion '!P:Q,2,FALSE),"")</f>
        <v>Caja</v>
      </c>
      <c r="D130" s="40">
        <v>12</v>
      </c>
      <c r="E130" s="43">
        <v>50</v>
      </c>
      <c r="F130" s="44">
        <f t="shared" ca="1" si="3"/>
        <v>600</v>
      </c>
    </row>
    <row r="131" spans="1:6" x14ac:dyDescent="0.3">
      <c r="A131" s="40" t="s">
        <v>84</v>
      </c>
      <c r="B131" s="41" t="str">
        <f ca="1">IFERROR(INDEX(UNSPSCDes,MATCH(INDIRECT(ADDRESS(ROW(),COLUMN()-1,4)),UNSPSCCode,0)),IF(INDIRECT(ADDRESS(ROW(),COLUMN()-1,4))="44121701","Bolígrafos",""))</f>
        <v>Bolígrafos</v>
      </c>
      <c r="C131" s="42" t="str">
        <f>IFERROR(VLOOKUP("CAJ",'[1]Informacion '!P:Q,2,FALSE),"")</f>
        <v>Caja</v>
      </c>
      <c r="D131" s="40">
        <v>10</v>
      </c>
      <c r="E131" s="43">
        <v>200</v>
      </c>
      <c r="F131" s="44">
        <f t="shared" ca="1" si="3"/>
        <v>2000</v>
      </c>
    </row>
    <row r="132" spans="1:6" x14ac:dyDescent="0.3">
      <c r="A132" s="40" t="s">
        <v>85</v>
      </c>
      <c r="B132" s="41" t="str">
        <f ca="1">IFERROR(INDEX(UNSPSCDes,MATCH(INDIRECT(ADDRESS(ROW(),COLUMN()-1,4)),UNSPSCCode,0)),IF(INDIRECT(ADDRESS(ROW(),COLUMN()-1,4))="44122022","Accesorios de carpetas de folders",""))</f>
        <v>Accesorios de carpetas de folders</v>
      </c>
      <c r="C132" s="42" t="str">
        <f>IFERROR(VLOOKUP("CAJ",'[1]Informacion '!P:Q,2,FALSE),"")</f>
        <v>Caja</v>
      </c>
      <c r="D132" s="40">
        <v>24</v>
      </c>
      <c r="E132" s="43">
        <v>155</v>
      </c>
      <c r="F132" s="44">
        <f t="shared" ca="1" si="3"/>
        <v>3720</v>
      </c>
    </row>
    <row r="133" spans="1:6" x14ac:dyDescent="0.3">
      <c r="A133" s="40" t="s">
        <v>86</v>
      </c>
      <c r="B133" s="41" t="str">
        <f ca="1">IFERROR(INDEX(UNSPSCDes,MATCH(INDIRECT(ADDRESS(ROW(),COLUMN()-1,4)),UNSPSCCode,0)),IF(INDIRECT(ADDRESS(ROW(),COLUMN()-1,4))="14111514","Blocs o cuadernos de papel",""))</f>
        <v>Blocs o cuadernos de papel</v>
      </c>
      <c r="C133" s="42" t="str">
        <f>IFERROR(VLOOKUP("UD",'[1]Informacion '!P:Q,2,FALSE),"")</f>
        <v>Unidad</v>
      </c>
      <c r="D133" s="40">
        <v>36</v>
      </c>
      <c r="E133" s="43">
        <v>40</v>
      </c>
      <c r="F133" s="44">
        <f t="shared" ca="1" si="3"/>
        <v>1440</v>
      </c>
    </row>
    <row r="134" spans="1:6" x14ac:dyDescent="0.3">
      <c r="A134" s="40" t="s">
        <v>86</v>
      </c>
      <c r="B134" s="41" t="str">
        <f ca="1">IFERROR(INDEX(UNSPSCDes,MATCH(INDIRECT(ADDRESS(ROW(),COLUMN()-1,4)),UNSPSCCode,0)),IF(INDIRECT(ADDRESS(ROW(),COLUMN()-1,4))="14111514","Blocs o cuadernos de papel",""))</f>
        <v>Blocs o cuadernos de papel</v>
      </c>
      <c r="C134" s="42" t="str">
        <f>IFERROR(VLOOKUP("UD",'[1]Informacion '!P:Q,2,FALSE),"")</f>
        <v>Unidad</v>
      </c>
      <c r="D134" s="40">
        <v>12</v>
      </c>
      <c r="E134" s="43">
        <v>85</v>
      </c>
      <c r="F134" s="44">
        <f t="shared" ca="1" si="3"/>
        <v>1020</v>
      </c>
    </row>
    <row r="135" spans="1:6" x14ac:dyDescent="0.3">
      <c r="A135" s="40" t="s">
        <v>87</v>
      </c>
      <c r="B135" s="41" t="str">
        <f ca="1">IFERROR(INDEX(UNSPSCDes,MATCH(INDIRECT(ADDRESS(ROW(),COLUMN()-1,4)),UNSPSCCode,0)),IF(INDIRECT(ADDRESS(ROW(),COLUMN()-1,4))="44121618","Tijeras",""))</f>
        <v>Tijeras</v>
      </c>
      <c r="C135" s="42" t="str">
        <f>IFERROR(VLOOKUP("UD",'[1]Informacion '!P:Q,2,FALSE),"")</f>
        <v>Unidad</v>
      </c>
      <c r="D135" s="40">
        <v>12</v>
      </c>
      <c r="E135" s="43">
        <v>90</v>
      </c>
      <c r="F135" s="44">
        <f t="shared" ca="1" si="3"/>
        <v>1080</v>
      </c>
    </row>
    <row r="136" spans="1:6" ht="20.399999999999999" x14ac:dyDescent="0.3">
      <c r="A136" s="40" t="s">
        <v>88</v>
      </c>
      <c r="B136" s="41" t="str">
        <f ca="1">IFERROR(INDEX(UNSPSCDes,MATCH(INDIRECT(ADDRESS(ROW(),COLUMN()-1,4)),UNSPSCCode,0)),IF(INDIRECT(ADDRESS(ROW(),COLUMN()-1,4))="14111515","Papel para sumadora o máquina registradora",""))</f>
        <v>Papel para sumadora o máquina registradora</v>
      </c>
      <c r="C136" s="42" t="str">
        <f>IFERROR(VLOOKUP("UD",'[1]Informacion '!P:Q,2,FALSE),"")</f>
        <v>Unidad</v>
      </c>
      <c r="D136" s="40">
        <v>200</v>
      </c>
      <c r="E136" s="43">
        <v>80</v>
      </c>
      <c r="F136" s="44">
        <f t="shared" ca="1" si="3"/>
        <v>16000</v>
      </c>
    </row>
    <row r="137" spans="1:6" x14ac:dyDescent="0.3">
      <c r="A137" s="40" t="s">
        <v>89</v>
      </c>
      <c r="B137" s="41" t="str">
        <f ca="1">IFERROR(INDEX(UNSPSCDes,MATCH(INDIRECT(ADDRESS(ROW(),COLUMN()-1,4)),UNSPSCCode,0)),IF(INDIRECT(ADDRESS(ROW(),COLUMN()-1,4))="14111801","Boletas o rollos de boletería",""))</f>
        <v>Boletas o rollos de boletería</v>
      </c>
      <c r="C137" s="42" t="str">
        <f>IFERROR(VLOOKUP("UD",'[1]Informacion '!P:Q,2,FALSE),"")</f>
        <v>Unidad</v>
      </c>
      <c r="D137" s="40">
        <v>25</v>
      </c>
      <c r="E137" s="43">
        <v>1500</v>
      </c>
      <c r="F137" s="44">
        <f t="shared" ca="1" si="3"/>
        <v>37500</v>
      </c>
    </row>
    <row r="138" spans="1:6" x14ac:dyDescent="0.3">
      <c r="A138" s="40" t="s">
        <v>90</v>
      </c>
      <c r="B138" s="41" t="str">
        <f ca="1">IFERROR(INDEX(UNSPSCDes,MATCH(INDIRECT(ADDRESS(ROW(),COLUMN()-1,4)),UNSPSCCode,0)),IF(INDIRECT(ADDRESS(ROW(),COLUMN()-1,4))="49101609","Ornamentos o decoraciones",""))</f>
        <v>Ornamentos o decoraciones</v>
      </c>
      <c r="C138" s="42" t="str">
        <f>IFERROR(VLOOKUP("UD",'[1]Informacion '!P:Q,2,FALSE),"")</f>
        <v>Unidad</v>
      </c>
      <c r="D138" s="40">
        <v>2</v>
      </c>
      <c r="E138" s="43">
        <v>300</v>
      </c>
      <c r="F138" s="44">
        <f t="shared" ca="1" si="3"/>
        <v>600</v>
      </c>
    </row>
    <row r="139" spans="1:6" x14ac:dyDescent="0.3">
      <c r="A139" s="30"/>
      <c r="B139" s="30"/>
      <c r="C139" s="30"/>
      <c r="D139" s="30"/>
      <c r="E139" s="45" t="s">
        <v>52</v>
      </c>
      <c r="F139" s="46">
        <f ca="1">SUM(Table7[MONTO TOTAL ESTIMADO])</f>
        <v>114600</v>
      </c>
    </row>
    <row r="140" spans="1:6" ht="15" thickBot="1" x14ac:dyDescent="0.35">
      <c r="A140" s="30"/>
      <c r="B140" s="30"/>
      <c r="C140" s="30"/>
      <c r="D140" s="30"/>
      <c r="E140" s="30"/>
      <c r="F140" s="30"/>
    </row>
    <row r="141" spans="1:6" ht="21" thickBot="1" x14ac:dyDescent="0.35">
      <c r="A141" s="31" t="s">
        <v>19</v>
      </c>
      <c r="B141" s="31" t="s">
        <v>20</v>
      </c>
      <c r="C141" s="31" t="s">
        <v>21</v>
      </c>
      <c r="D141" s="31" t="s">
        <v>22</v>
      </c>
      <c r="E141" s="31" t="s">
        <v>23</v>
      </c>
      <c r="F141" s="31" t="s">
        <v>24</v>
      </c>
    </row>
    <row r="142" spans="1:6" ht="21" thickBot="1" x14ac:dyDescent="0.35">
      <c r="A142" s="12" t="s">
        <v>91</v>
      </c>
      <c r="B142" s="12" t="s">
        <v>91</v>
      </c>
      <c r="C142" s="12" t="s">
        <v>27</v>
      </c>
      <c r="D142" s="12" t="s">
        <v>28</v>
      </c>
      <c r="E142" s="12" t="s">
        <v>29</v>
      </c>
      <c r="F142" s="12"/>
    </row>
    <row r="143" spans="1:6" ht="15" thickBot="1" x14ac:dyDescent="0.35">
      <c r="A143" s="32" t="s">
        <v>30</v>
      </c>
      <c r="B143" s="33" t="s">
        <v>31</v>
      </c>
      <c r="C143" s="34">
        <v>45697</v>
      </c>
      <c r="D143" s="32" t="s">
        <v>32</v>
      </c>
      <c r="E143" s="35" t="s">
        <v>33</v>
      </c>
      <c r="F143" s="36" t="s">
        <v>34</v>
      </c>
    </row>
    <row r="144" spans="1:6" ht="15" thickBot="1" x14ac:dyDescent="0.35">
      <c r="A144" s="37"/>
      <c r="B144" s="33" t="s">
        <v>35</v>
      </c>
      <c r="C144" s="38">
        <f>IF(C143="","",IF(AND(MONTH(C143)&gt;=1,MONTH(C143)&lt;=3),1,IF(AND(MONTH(C143)&gt;=4,MONTH(C143)&lt;=6),2,IF(AND(MONTH(C143)&gt;=7,MONTH(C143)&lt;=9),3,4))))</f>
        <v>1</v>
      </c>
      <c r="D144" s="37"/>
      <c r="E144" s="35" t="s">
        <v>36</v>
      </c>
      <c r="F144" s="36" t="s">
        <v>37</v>
      </c>
    </row>
    <row r="145" spans="1:6" ht="15" thickBot="1" x14ac:dyDescent="0.35">
      <c r="A145" s="37"/>
      <c r="B145" s="33" t="s">
        <v>38</v>
      </c>
      <c r="C145" s="34">
        <v>45700</v>
      </c>
      <c r="D145" s="37"/>
      <c r="E145" s="35" t="s">
        <v>39</v>
      </c>
      <c r="F145" s="36" t="s">
        <v>37</v>
      </c>
    </row>
    <row r="146" spans="1:6" ht="15" thickBot="1" x14ac:dyDescent="0.35">
      <c r="A146" s="37"/>
      <c r="B146" s="33" t="s">
        <v>35</v>
      </c>
      <c r="C146" s="38">
        <f>IF(C145="","",IF(AND(MONTH(C145)&gt;=1,MONTH(C145)&lt;=3),1,IF(AND(MONTH(C145)&gt;=4,MONTH(C145)&lt;=6),2,IF(AND(MONTH(C145)&gt;=7,MONTH(C145)&lt;=9),3,4))))</f>
        <v>1</v>
      </c>
      <c r="D146" s="37"/>
      <c r="E146" s="35" t="s">
        <v>40</v>
      </c>
      <c r="F146" s="36"/>
    </row>
    <row r="147" spans="1:6" ht="15" thickBot="1" x14ac:dyDescent="0.35">
      <c r="A147" s="30"/>
      <c r="B147" s="30"/>
      <c r="C147" s="30"/>
      <c r="D147" s="30"/>
      <c r="E147" s="30"/>
      <c r="F147" s="30"/>
    </row>
    <row r="148" spans="1:6" ht="15" thickBot="1" x14ac:dyDescent="0.35">
      <c r="A148" s="39" t="s">
        <v>41</v>
      </c>
      <c r="B148" s="39" t="s">
        <v>42</v>
      </c>
      <c r="C148" s="39" t="s">
        <v>43</v>
      </c>
      <c r="D148" s="39" t="s">
        <v>44</v>
      </c>
      <c r="E148" s="39" t="s">
        <v>45</v>
      </c>
      <c r="F148" s="39" t="s">
        <v>46</v>
      </c>
    </row>
    <row r="149" spans="1:6" x14ac:dyDescent="0.3">
      <c r="A149" s="40" t="s">
        <v>92</v>
      </c>
      <c r="B149" s="41" t="str">
        <f ca="1">IFERROR(INDEX(UNSPSCDes,MATCH(INDIRECT(ADDRESS(ROW(),COLUMN()-1,4)),UNSPSCCode,0)),IF(INDIRECT(ADDRESS(ROW(),COLUMN()-1,4))="14111703","Toallas de papel",""))</f>
        <v>Toallas de papel</v>
      </c>
      <c r="C149" s="42" t="str">
        <f>IFERROR(VLOOKUP("UD",'[1]Informacion '!P:Q,2,FALSE),"")</f>
        <v>Unidad</v>
      </c>
      <c r="D149" s="40">
        <v>450</v>
      </c>
      <c r="E149" s="43">
        <v>200</v>
      </c>
      <c r="F149" s="44">
        <f t="shared" ref="F149:F171" ca="1" si="4">INDIRECT(ADDRESS(ROW(),COLUMN()-2,4))*INDIRECT(ADDRESS(ROW(),COLUMN()-1,4))</f>
        <v>90000</v>
      </c>
    </row>
    <row r="150" spans="1:6" x14ac:dyDescent="0.3">
      <c r="A150" s="40" t="s">
        <v>93</v>
      </c>
      <c r="B150" s="41" t="str">
        <f ca="1">IFERROR(INDEX(UNSPSCDes,MATCH(INDIRECT(ADDRESS(ROW(),COLUMN()-1,4)),UNSPSCCode,0)),IF(INDIRECT(ADDRESS(ROW(),COLUMN()-1,4))="14111704","Papel higiénico",""))</f>
        <v>Papel higiénico</v>
      </c>
      <c r="C150" s="42" t="str">
        <f>IFERROR(VLOOKUP("UD",'[1]Informacion '!P:Q,2,FALSE),"")</f>
        <v>Unidad</v>
      </c>
      <c r="D150" s="40">
        <v>350</v>
      </c>
      <c r="E150" s="43">
        <v>180</v>
      </c>
      <c r="F150" s="44">
        <f t="shared" ca="1" si="4"/>
        <v>63000</v>
      </c>
    </row>
    <row r="151" spans="1:6" x14ac:dyDescent="0.3">
      <c r="A151" s="40" t="s">
        <v>94</v>
      </c>
      <c r="B151" s="41" t="str">
        <f ca="1">IFERROR(INDEX(UNSPSCDes,MATCH(INDIRECT(ADDRESS(ROW(),COLUMN()-1,4)),UNSPSCCode,0)),IF(INDIRECT(ADDRESS(ROW(),COLUMN()-1,4))="46181504","Guantes de protección",""))</f>
        <v>Guantes de protección</v>
      </c>
      <c r="C151" s="42" t="str">
        <f>IFERROR(VLOOKUP("UD",'[1]Informacion '!P:Q,2,FALSE),"")</f>
        <v>Unidad</v>
      </c>
      <c r="D151" s="40">
        <v>24</v>
      </c>
      <c r="E151" s="43">
        <v>90</v>
      </c>
      <c r="F151" s="44">
        <f t="shared" ca="1" si="4"/>
        <v>2160</v>
      </c>
    </row>
    <row r="152" spans="1:6" x14ac:dyDescent="0.3">
      <c r="A152" s="40" t="s">
        <v>95</v>
      </c>
      <c r="B152" s="41" t="str">
        <f ca="1">IFERROR(INDEX(UNSPSCDes,MATCH(INDIRECT(ADDRESS(ROW(),COLUMN()-1,4)),UNSPSCCode,0)),IF(INDIRECT(ADDRESS(ROW(),COLUMN()-1,4))="47131603","Esponjas",""))</f>
        <v>Esponjas</v>
      </c>
      <c r="C152" s="42" t="str">
        <f>IFERROR(VLOOKUP("UD",'[1]Informacion '!P:Q,2,FALSE),"")</f>
        <v>Unidad</v>
      </c>
      <c r="D152" s="40">
        <v>50</v>
      </c>
      <c r="E152" s="43">
        <v>50</v>
      </c>
      <c r="F152" s="44">
        <f t="shared" ca="1" si="4"/>
        <v>2500</v>
      </c>
    </row>
    <row r="153" spans="1:6" x14ac:dyDescent="0.3">
      <c r="A153" s="40" t="s">
        <v>96</v>
      </c>
      <c r="B153" s="41" t="str">
        <f ca="1">IFERROR(INDEX(UNSPSCDes,MATCH(INDIRECT(ADDRESS(ROW(),COLUMN()-1,4)),UNSPSCCode,0)),IF(INDIRECT(ADDRESS(ROW(),COLUMN()-1,4))="47121701","Bolsas de basura",""))</f>
        <v>Bolsas de basura</v>
      </c>
      <c r="C153" s="42" t="str">
        <f>IFERROR(VLOOKUP("MIL",'[1]Informacion '!P:Q,2,FALSE),"")</f>
        <v>Millar</v>
      </c>
      <c r="D153" s="40">
        <v>10</v>
      </c>
      <c r="E153" s="43">
        <v>6000</v>
      </c>
      <c r="F153" s="44">
        <f t="shared" ca="1" si="4"/>
        <v>60000</v>
      </c>
    </row>
    <row r="154" spans="1:6" x14ac:dyDescent="0.3">
      <c r="A154" s="40" t="s">
        <v>96</v>
      </c>
      <c r="B154" s="41" t="str">
        <f ca="1">IFERROR(INDEX(UNSPSCDes,MATCH(INDIRECT(ADDRESS(ROW(),COLUMN()-1,4)),UNSPSCCode,0)),IF(INDIRECT(ADDRESS(ROW(),COLUMN()-1,4))="47121701","Bolsas de basura",""))</f>
        <v>Bolsas de basura</v>
      </c>
      <c r="C154" s="42" t="str">
        <f>IFERROR(VLOOKUP("MIL",'[1]Informacion '!P:Q,2,FALSE),"")</f>
        <v>Millar</v>
      </c>
      <c r="D154" s="40">
        <v>7</v>
      </c>
      <c r="E154" s="43">
        <v>1800</v>
      </c>
      <c r="F154" s="44">
        <f t="shared" ca="1" si="4"/>
        <v>12600</v>
      </c>
    </row>
    <row r="155" spans="1:6" x14ac:dyDescent="0.3">
      <c r="A155" s="40" t="s">
        <v>97</v>
      </c>
      <c r="B155" s="41" t="str">
        <f ca="1">IFERROR(INDEX(UNSPSCDes,MATCH(INDIRECT(ADDRESS(ROW(),COLUMN()-1,4)),UNSPSCCode,0)),IF(INDIRECT(ADDRESS(ROW(),COLUMN()-1,4))="53131608","Jabones",""))</f>
        <v>Jabones</v>
      </c>
      <c r="C155" s="42" t="str">
        <f>IFERROR(VLOOKUP("GAL",'[1]Informacion '!P:Q,2,FALSE),"")</f>
        <v>Galón</v>
      </c>
      <c r="D155" s="40">
        <v>36</v>
      </c>
      <c r="E155" s="43">
        <v>140</v>
      </c>
      <c r="F155" s="44">
        <f t="shared" ca="1" si="4"/>
        <v>5040</v>
      </c>
    </row>
    <row r="156" spans="1:6" x14ac:dyDescent="0.3">
      <c r="A156" s="40" t="s">
        <v>98</v>
      </c>
      <c r="B156" s="41" t="str">
        <f ca="1">IFERROR(INDEX(UNSPSCDes,MATCH(INDIRECT(ADDRESS(ROW(),COLUMN()-1,4)),UNSPSCCode,0)),IF(INDIRECT(ADDRESS(ROW(),COLUMN()-1,4))="47131803","Desinfectantes para uso doméstico",""))</f>
        <v>Desinfectantes para uso doméstico</v>
      </c>
      <c r="C156" s="42" t="str">
        <f>IFERROR(VLOOKUP("GAL",'[1]Informacion '!P:Q,2,FALSE),"")</f>
        <v>Galón</v>
      </c>
      <c r="D156" s="40">
        <v>200</v>
      </c>
      <c r="E156" s="43">
        <v>150</v>
      </c>
      <c r="F156" s="44">
        <f t="shared" ca="1" si="4"/>
        <v>30000</v>
      </c>
    </row>
    <row r="157" spans="1:6" x14ac:dyDescent="0.3">
      <c r="A157" s="40" t="s">
        <v>99</v>
      </c>
      <c r="B157" s="41" t="str">
        <f ca="1">IFERROR(INDEX(UNSPSCDes,MATCH(INDIRECT(ADDRESS(ROW(),COLUMN()-1,4)),UNSPSCCode,0)),IF(INDIRECT(ADDRESS(ROW(),COLUMN()-1,4))="47131807","Blanqueadores",""))</f>
        <v>Blanqueadores</v>
      </c>
      <c r="C157" s="42" t="str">
        <f>IFERROR(VLOOKUP("GAL",'[1]Informacion '!P:Q,2,FALSE),"")</f>
        <v>Galón</v>
      </c>
      <c r="D157" s="40">
        <v>200</v>
      </c>
      <c r="E157" s="43">
        <v>90</v>
      </c>
      <c r="F157" s="44">
        <f t="shared" ca="1" si="4"/>
        <v>18000</v>
      </c>
    </row>
    <row r="158" spans="1:6" x14ac:dyDescent="0.3">
      <c r="A158" s="40" t="s">
        <v>100</v>
      </c>
      <c r="B158" s="41" t="str">
        <f ca="1">IFERROR(INDEX(UNSPSCDes,MATCH(INDIRECT(ADDRESS(ROW(),COLUMN()-1,4)),UNSPSCCode,0)),IF(INDIRECT(ADDRESS(ROW(),COLUMN()-1,4))="47131502","Pañitos o toallas para limpiar",""))</f>
        <v>Pañitos o toallas para limpiar</v>
      </c>
      <c r="C158" s="42" t="str">
        <f>IFERROR(VLOOKUP("UD",'[1]Informacion '!P:Q,2,FALSE),"")</f>
        <v>Unidad</v>
      </c>
      <c r="D158" s="40">
        <v>30</v>
      </c>
      <c r="E158" s="43">
        <v>60</v>
      </c>
      <c r="F158" s="44">
        <f t="shared" ca="1" si="4"/>
        <v>1800</v>
      </c>
    </row>
    <row r="159" spans="1:6" x14ac:dyDescent="0.3">
      <c r="A159" s="40" t="s">
        <v>97</v>
      </c>
      <c r="B159" s="41" t="str">
        <f ca="1">IFERROR(INDEX(UNSPSCDes,MATCH(INDIRECT(ADDRESS(ROW(),COLUMN()-1,4)),UNSPSCCode,0)),IF(INDIRECT(ADDRESS(ROW(),COLUMN()-1,4))="53131608","Jabones",""))</f>
        <v>Jabones</v>
      </c>
      <c r="C159" s="42" t="str">
        <f>IFERROR(VLOOKUP("GAL",'[1]Informacion '!P:Q,2,FALSE),"")</f>
        <v>Galón</v>
      </c>
      <c r="D159" s="40">
        <v>54</v>
      </c>
      <c r="E159" s="43">
        <v>160</v>
      </c>
      <c r="F159" s="44">
        <f t="shared" ca="1" si="4"/>
        <v>8640</v>
      </c>
    </row>
    <row r="160" spans="1:6" x14ac:dyDescent="0.3">
      <c r="A160" s="40" t="s">
        <v>97</v>
      </c>
      <c r="B160" s="41" t="str">
        <f ca="1">IFERROR(INDEX(UNSPSCDes,MATCH(INDIRECT(ADDRESS(ROW(),COLUMN()-1,4)),UNSPSCCode,0)),IF(INDIRECT(ADDRESS(ROW(),COLUMN()-1,4))="53131608","Jabones",""))</f>
        <v>Jabones</v>
      </c>
      <c r="C160" s="42" t="str">
        <f>IFERROR(VLOOKUP("UD",'[1]Informacion '!P:Q,2,FALSE),"")</f>
        <v>Unidad</v>
      </c>
      <c r="D160" s="40">
        <v>50</v>
      </c>
      <c r="E160" s="43">
        <v>130</v>
      </c>
      <c r="F160" s="44">
        <f t="shared" ca="1" si="4"/>
        <v>6500</v>
      </c>
    </row>
    <row r="161" spans="1:6" x14ac:dyDescent="0.3">
      <c r="A161" s="40" t="s">
        <v>101</v>
      </c>
      <c r="B161" s="41" t="str">
        <f ca="1">IFERROR(INDEX(UNSPSCDes,MATCH(INDIRECT(ADDRESS(ROW(),COLUMN()-1,4)),UNSPSCCode,0)),IF(INDIRECT(ADDRESS(ROW(),COLUMN()-1,4))="47131604","Escobas",""))</f>
        <v>Escobas</v>
      </c>
      <c r="C161" s="42" t="str">
        <f>IFERROR(VLOOKUP("UD",'[1]Informacion '!P:Q,2,FALSE),"")</f>
        <v>Unidad</v>
      </c>
      <c r="D161" s="40">
        <v>12</v>
      </c>
      <c r="E161" s="43">
        <v>150</v>
      </c>
      <c r="F161" s="44">
        <f t="shared" ca="1" si="4"/>
        <v>1800</v>
      </c>
    </row>
    <row r="162" spans="1:6" x14ac:dyDescent="0.3">
      <c r="A162" s="40" t="s">
        <v>102</v>
      </c>
      <c r="B162" s="41" t="str">
        <f ca="1">IFERROR(INDEX(UNSPSCDes,MATCH(INDIRECT(ADDRESS(ROW(),COLUMN()-1,4)),UNSPSCCode,0)),IF(INDIRECT(ADDRESS(ROW(),COLUMN()-1,4))="47131611","Recogedor de basura",""))</f>
        <v>Recogedor de basura</v>
      </c>
      <c r="C162" s="42" t="str">
        <f>IFERROR(VLOOKUP("UD",'[1]Informacion '!P:Q,2,FALSE),"")</f>
        <v>Unidad</v>
      </c>
      <c r="D162" s="40">
        <v>12</v>
      </c>
      <c r="E162" s="43">
        <v>100</v>
      </c>
      <c r="F162" s="44">
        <f t="shared" ca="1" si="4"/>
        <v>1200</v>
      </c>
    </row>
    <row r="163" spans="1:6" x14ac:dyDescent="0.3">
      <c r="A163" s="40" t="s">
        <v>103</v>
      </c>
      <c r="B163" s="41" t="str">
        <f ca="1">IFERROR(INDEX(UNSPSCDes,MATCH(INDIRECT(ADDRESS(ROW(),COLUMN()-1,4)),UNSPSCCode,0)),IF(INDIRECT(ADDRESS(ROW(),COLUMN()-1,4))="27112003","Rastrillos",""))</f>
        <v>Rastrillos</v>
      </c>
      <c r="C163" s="42" t="str">
        <f>IFERROR(VLOOKUP("UD",'[1]Informacion '!P:Q,2,FALSE),"")</f>
        <v>Unidad</v>
      </c>
      <c r="D163" s="40">
        <v>24</v>
      </c>
      <c r="E163" s="43">
        <v>500</v>
      </c>
      <c r="F163" s="44">
        <f t="shared" ca="1" si="4"/>
        <v>12000</v>
      </c>
    </row>
    <row r="164" spans="1:6" x14ac:dyDescent="0.3">
      <c r="A164" s="40" t="s">
        <v>104</v>
      </c>
      <c r="B164" s="41" t="str">
        <f ca="1">IFERROR(INDEX(UNSPSCDes,MATCH(INDIRECT(ADDRESS(ROW(),COLUMN()-1,4)),UNSPSCCode,0)),IF(INDIRECT(ADDRESS(ROW(),COLUMN()-1,4))="40142008","Mangueras de agua",""))</f>
        <v>Mangueras de agua</v>
      </c>
      <c r="C164" s="42" t="str">
        <f>IFERROR(VLOOKUP("UD",'[1]Informacion '!P:Q,2,FALSE),"")</f>
        <v>Unidad</v>
      </c>
      <c r="D164" s="40">
        <v>2</v>
      </c>
      <c r="E164" s="43">
        <v>1000</v>
      </c>
      <c r="F164" s="44">
        <f t="shared" ca="1" si="4"/>
        <v>2000</v>
      </c>
    </row>
    <row r="165" spans="1:6" x14ac:dyDescent="0.3">
      <c r="A165" s="40" t="s">
        <v>105</v>
      </c>
      <c r="B165" s="41" t="str">
        <f ca="1">IFERROR(INDEX(UNSPSCDes,MATCH(INDIRECT(ADDRESS(ROW(),COLUMN()-1,4)),UNSPSCCode,0)),IF(INDIRECT(ADDRESS(ROW(),COLUMN()-1,4))="47131812","Refrescador de aire",""))</f>
        <v>Refrescador de aire</v>
      </c>
      <c r="C165" s="42" t="str">
        <f>IFERROR(VLOOKUP("PAQ",'[1]Informacion '!P:Q,2,FALSE),"")</f>
        <v>Paquete</v>
      </c>
      <c r="D165" s="40">
        <v>1</v>
      </c>
      <c r="E165" s="43">
        <v>1500</v>
      </c>
      <c r="F165" s="44">
        <f t="shared" ca="1" si="4"/>
        <v>1500</v>
      </c>
    </row>
    <row r="166" spans="1:6" x14ac:dyDescent="0.3">
      <c r="A166" s="40" t="s">
        <v>105</v>
      </c>
      <c r="B166" s="41" t="str">
        <f ca="1">IFERROR(INDEX(UNSPSCDes,MATCH(INDIRECT(ADDRESS(ROW(),COLUMN()-1,4)),UNSPSCCode,0)),IF(INDIRECT(ADDRESS(ROW(),COLUMN()-1,4))="47131812","Refrescador de aire",""))</f>
        <v>Refrescador de aire</v>
      </c>
      <c r="C166" s="42" t="str">
        <f>IFERROR(VLOOKUP("PAQ",'[1]Informacion '!P:Q,2,FALSE),"")</f>
        <v>Paquete</v>
      </c>
      <c r="D166" s="40">
        <v>1</v>
      </c>
      <c r="E166" s="43">
        <v>1700</v>
      </c>
      <c r="F166" s="44">
        <f t="shared" ca="1" si="4"/>
        <v>1700</v>
      </c>
    </row>
    <row r="167" spans="1:6" x14ac:dyDescent="0.3">
      <c r="A167" s="40" t="s">
        <v>105</v>
      </c>
      <c r="B167" s="41" t="str">
        <f ca="1">IFERROR(INDEX(UNSPSCDes,MATCH(INDIRECT(ADDRESS(ROW(),COLUMN()-1,4)),UNSPSCCode,0)),IF(INDIRECT(ADDRESS(ROW(),COLUMN()-1,4))="47131812","Refrescador de aire",""))</f>
        <v>Refrescador de aire</v>
      </c>
      <c r="C167" s="42" t="str">
        <f>IFERROR(VLOOKUP("UD",'[1]Informacion '!P:Q,2,FALSE),"")</f>
        <v>Unidad</v>
      </c>
      <c r="D167" s="40">
        <v>6</v>
      </c>
      <c r="E167" s="43">
        <v>600</v>
      </c>
      <c r="F167" s="44">
        <f t="shared" ca="1" si="4"/>
        <v>3600</v>
      </c>
    </row>
    <row r="168" spans="1:6" x14ac:dyDescent="0.3">
      <c r="A168" s="40" t="s">
        <v>106</v>
      </c>
      <c r="B168" s="41" t="str">
        <f ca="1">IFERROR(INDEX(UNSPSCDes,MATCH(INDIRECT(ADDRESS(ROW(),COLUMN()-1,4)),UNSPSCCode,0)),IF(INDIRECT(ADDRESS(ROW(),COLUMN()-1,4))="10171701","Matamalezas",""))</f>
        <v>Matamalezas</v>
      </c>
      <c r="C168" s="42" t="str">
        <f>IFERROR(VLOOKUP("GAL",'[1]Informacion '!P:Q,2,FALSE),"")</f>
        <v>Galón</v>
      </c>
      <c r="D168" s="40">
        <v>1</v>
      </c>
      <c r="E168" s="43">
        <v>3000</v>
      </c>
      <c r="F168" s="44">
        <f t="shared" ca="1" si="4"/>
        <v>3000</v>
      </c>
    </row>
    <row r="169" spans="1:6" x14ac:dyDescent="0.3">
      <c r="A169" s="40" t="s">
        <v>107</v>
      </c>
      <c r="B169" s="41" t="str">
        <f ca="1">IFERROR(INDEX(UNSPSCDes,MATCH(INDIRECT(ADDRESS(ROW(),COLUMN()-1,4)),UNSPSCCode,0)),IF(INDIRECT(ADDRESS(ROW(),COLUMN()-1,4))="10191506","Mata – roedores",""))</f>
        <v>Mata – roedores</v>
      </c>
      <c r="C169" s="42" t="str">
        <f>IFERROR(VLOOKUP("LB",'[1]Informacion '!P:Q,2,FALSE),"")</f>
        <v>Libra </v>
      </c>
      <c r="D169" s="40">
        <v>12</v>
      </c>
      <c r="E169" s="43">
        <v>500</v>
      </c>
      <c r="F169" s="44">
        <f t="shared" ca="1" si="4"/>
        <v>6000</v>
      </c>
    </row>
    <row r="170" spans="1:6" x14ac:dyDescent="0.3">
      <c r="A170" s="40" t="s">
        <v>108</v>
      </c>
      <c r="B170" s="41" t="str">
        <f ca="1">IFERROR(INDEX(UNSPSCDes,MATCH(INDIRECT(ADDRESS(ROW(),COLUMN()-1,4)),UNSPSCCode,0)),IF(INDIRECT(ADDRESS(ROW(),COLUMN()-1,4))="10191701","Trampas para control animal",""))</f>
        <v>Trampas para control animal</v>
      </c>
      <c r="C170" s="42" t="str">
        <f>IFERROR(VLOOKUP("UD",'[1]Informacion '!P:Q,2,FALSE),"")</f>
        <v>Unidad</v>
      </c>
      <c r="D170" s="40">
        <v>12</v>
      </c>
      <c r="E170" s="43">
        <v>400</v>
      </c>
      <c r="F170" s="44">
        <f t="shared" ca="1" si="4"/>
        <v>4800</v>
      </c>
    </row>
    <row r="171" spans="1:6" x14ac:dyDescent="0.3">
      <c r="A171" s="40" t="s">
        <v>105</v>
      </c>
      <c r="B171" s="41" t="str">
        <f ca="1">IFERROR(INDEX(UNSPSCDes,MATCH(INDIRECT(ADDRESS(ROW(),COLUMN()-1,4)),UNSPSCCode,0)),IF(INDIRECT(ADDRESS(ROW(),COLUMN()-1,4))="47131812","Refrescador de aire",""))</f>
        <v>Refrescador de aire</v>
      </c>
      <c r="C171" s="42" t="str">
        <f>IFERROR(VLOOKUP("UD",'[1]Informacion '!P:Q,2,FALSE),"")</f>
        <v>Unidad</v>
      </c>
      <c r="D171" s="40">
        <v>6</v>
      </c>
      <c r="E171" s="43">
        <v>600</v>
      </c>
      <c r="F171" s="44">
        <f t="shared" ca="1" si="4"/>
        <v>3600</v>
      </c>
    </row>
    <row r="172" spans="1:6" x14ac:dyDescent="0.3">
      <c r="A172" s="30"/>
      <c r="B172" s="30"/>
      <c r="C172" s="30"/>
      <c r="D172" s="30"/>
      <c r="E172" s="45" t="s">
        <v>52</v>
      </c>
      <c r="F172" s="46">
        <f ca="1">SUM(Table8[MONTO TOTAL ESTIMADO])</f>
        <v>341440</v>
      </c>
    </row>
    <row r="173" spans="1:6" ht="15" thickBot="1" x14ac:dyDescent="0.35">
      <c r="A173" s="30"/>
      <c r="B173" s="30"/>
      <c r="C173" s="30"/>
      <c r="D173" s="30"/>
      <c r="E173" s="30"/>
      <c r="F173" s="30"/>
    </row>
    <row r="174" spans="1:6" ht="21" thickBot="1" x14ac:dyDescent="0.35">
      <c r="A174" s="31" t="s">
        <v>19</v>
      </c>
      <c r="B174" s="31" t="s">
        <v>20</v>
      </c>
      <c r="C174" s="31" t="s">
        <v>21</v>
      </c>
      <c r="D174" s="31" t="s">
        <v>22</v>
      </c>
      <c r="E174" s="31" t="s">
        <v>23</v>
      </c>
      <c r="F174" s="31" t="s">
        <v>24</v>
      </c>
    </row>
    <row r="175" spans="1:6" ht="31.2" thickBot="1" x14ac:dyDescent="0.35">
      <c r="A175" s="12" t="s">
        <v>109</v>
      </c>
      <c r="B175" s="12" t="s">
        <v>110</v>
      </c>
      <c r="C175" s="12" t="s">
        <v>27</v>
      </c>
      <c r="D175" s="12" t="s">
        <v>28</v>
      </c>
      <c r="E175" s="12" t="s">
        <v>59</v>
      </c>
      <c r="F175" s="12" t="s">
        <v>18</v>
      </c>
    </row>
    <row r="176" spans="1:6" ht="15" thickBot="1" x14ac:dyDescent="0.35">
      <c r="A176" s="32" t="s">
        <v>30</v>
      </c>
      <c r="B176" s="33" t="s">
        <v>31</v>
      </c>
      <c r="C176" s="34">
        <v>45691</v>
      </c>
      <c r="D176" s="32" t="s">
        <v>32</v>
      </c>
      <c r="E176" s="35" t="s">
        <v>33</v>
      </c>
      <c r="F176" s="36" t="s">
        <v>34</v>
      </c>
    </row>
    <row r="177" spans="1:6" ht="15" thickBot="1" x14ac:dyDescent="0.35">
      <c r="A177" s="37"/>
      <c r="B177" s="33" t="s">
        <v>35</v>
      </c>
      <c r="C177" s="38">
        <f>IF(C176="","",IF(AND(MONTH(C176)&gt;=1,MONTH(C176)&lt;=3),1,IF(AND(MONTH(C176)&gt;=4,MONTH(C176)&lt;=6),2,IF(AND(MONTH(C176)&gt;=7,MONTH(C176)&lt;=9),3,4))))</f>
        <v>1</v>
      </c>
      <c r="D177" s="37"/>
      <c r="E177" s="35" t="s">
        <v>36</v>
      </c>
      <c r="F177" s="36" t="s">
        <v>37</v>
      </c>
    </row>
    <row r="178" spans="1:6" ht="15" thickBot="1" x14ac:dyDescent="0.35">
      <c r="A178" s="37"/>
      <c r="B178" s="33" t="s">
        <v>38</v>
      </c>
      <c r="C178" s="34">
        <v>45694</v>
      </c>
      <c r="D178" s="37"/>
      <c r="E178" s="35" t="s">
        <v>39</v>
      </c>
      <c r="F178" s="36" t="s">
        <v>37</v>
      </c>
    </row>
    <row r="179" spans="1:6" ht="15" thickBot="1" x14ac:dyDescent="0.35">
      <c r="A179" s="37"/>
      <c r="B179" s="33" t="s">
        <v>35</v>
      </c>
      <c r="C179" s="38">
        <f>IF(C178="","",IF(AND(MONTH(C178)&gt;=1,MONTH(C178)&lt;=3),1,IF(AND(MONTH(C178)&gt;=4,MONTH(C178)&lt;=6),2,IF(AND(MONTH(C178)&gt;=7,MONTH(C178)&lt;=9),3,4))))</f>
        <v>1</v>
      </c>
      <c r="D179" s="37"/>
      <c r="E179" s="35" t="s">
        <v>40</v>
      </c>
      <c r="F179" s="36"/>
    </row>
    <row r="180" spans="1:6" ht="15" thickBot="1" x14ac:dyDescent="0.35">
      <c r="A180" s="30"/>
      <c r="B180" s="30"/>
      <c r="C180" s="30"/>
      <c r="D180" s="30"/>
      <c r="E180" s="30"/>
      <c r="F180" s="30"/>
    </row>
    <row r="181" spans="1:6" ht="15" thickBot="1" x14ac:dyDescent="0.35">
      <c r="A181" s="39" t="s">
        <v>41</v>
      </c>
      <c r="B181" s="39" t="s">
        <v>42</v>
      </c>
      <c r="C181" s="39" t="s">
        <v>43</v>
      </c>
      <c r="D181" s="39" t="s">
        <v>44</v>
      </c>
      <c r="E181" s="39" t="s">
        <v>45</v>
      </c>
      <c r="F181" s="39" t="s">
        <v>46</v>
      </c>
    </row>
    <row r="182" spans="1:6" x14ac:dyDescent="0.3">
      <c r="A182" s="40" t="s">
        <v>111</v>
      </c>
      <c r="B182" s="41" t="str">
        <f ca="1">IFERROR(INDEX(UNSPSCDes,MATCH(INDIRECT(ADDRESS(ROW(),COLUMN()-1,4)),UNSPSCCode,0)),IF(INDIRECT(ADDRESS(ROW(),COLUMN()-1,4))="10121503","Maíz para forraje",""))</f>
        <v>Maíz para forraje</v>
      </c>
      <c r="C182" s="42" t="str">
        <f>IFERROR(VLOOKUP("UD",'[1]Informacion '!P:Q,2,FALSE),"")</f>
        <v>Unidad</v>
      </c>
      <c r="D182" s="40">
        <v>200</v>
      </c>
      <c r="E182" s="43">
        <v>950</v>
      </c>
      <c r="F182" s="44">
        <f t="shared" ref="F182:F200" ca="1" si="5">INDIRECT(ADDRESS(ROW(),COLUMN()-2,4))*INDIRECT(ADDRESS(ROW(),COLUMN()-1,4))</f>
        <v>190000</v>
      </c>
    </row>
    <row r="183" spans="1:6" x14ac:dyDescent="0.3">
      <c r="A183" s="40" t="s">
        <v>112</v>
      </c>
      <c r="B183" s="41" t="str">
        <f ca="1">IFERROR(INDEX(UNSPSCDes,MATCH(INDIRECT(ADDRESS(ROW(),COLUMN()-1,4)),UNSPSCCode,0)),IF(INDIRECT(ADDRESS(ROW(),COLUMN()-1,4))="10121501","Salvado de trigo puro",""))</f>
        <v>Salvado de trigo puro</v>
      </c>
      <c r="C183" s="42" t="str">
        <f>IFERROR(VLOOKUP("Q",'[1]Informacion '!P:Q,2,FALSE),"")</f>
        <v>Quintal</v>
      </c>
      <c r="D183" s="40">
        <v>100</v>
      </c>
      <c r="E183" s="43">
        <v>700</v>
      </c>
      <c r="F183" s="44">
        <f t="shared" ca="1" si="5"/>
        <v>70000</v>
      </c>
    </row>
    <row r="184" spans="1:6" x14ac:dyDescent="0.3">
      <c r="A184" s="40" t="s">
        <v>111</v>
      </c>
      <c r="B184" s="41" t="str">
        <f ca="1">IFERROR(INDEX(UNSPSCDes,MATCH(INDIRECT(ADDRESS(ROW(),COLUMN()-1,4)),UNSPSCCode,0)),IF(INDIRECT(ADDRESS(ROW(),COLUMN()-1,4))="10121503","Maíz para forraje",""))</f>
        <v>Maíz para forraje</v>
      </c>
      <c r="C184" s="42" t="str">
        <f>IFERROR(VLOOKUP("Q",'[1]Informacion '!P:Q,2,FALSE),"")</f>
        <v>Quintal</v>
      </c>
      <c r="D184" s="40">
        <v>100</v>
      </c>
      <c r="E184" s="43">
        <v>1100</v>
      </c>
      <c r="F184" s="44">
        <f t="shared" ca="1" si="5"/>
        <v>110000</v>
      </c>
    </row>
    <row r="185" spans="1:6" x14ac:dyDescent="0.3">
      <c r="A185" s="40" t="s">
        <v>111</v>
      </c>
      <c r="B185" s="41" t="str">
        <f ca="1">IFERROR(INDEX(UNSPSCDes,MATCH(INDIRECT(ADDRESS(ROW(),COLUMN()-1,4)),UNSPSCCode,0)),IF(INDIRECT(ADDRESS(ROW(),COLUMN()-1,4))="10121503","Maíz para forraje",""))</f>
        <v>Maíz para forraje</v>
      </c>
      <c r="C185" s="42" t="str">
        <f>IFERROR(VLOOKUP("Q",'[1]Informacion '!P:Q,2,FALSE),"")</f>
        <v>Quintal</v>
      </c>
      <c r="D185" s="40">
        <v>90</v>
      </c>
      <c r="E185" s="43">
        <v>1850</v>
      </c>
      <c r="F185" s="44">
        <f t="shared" ca="1" si="5"/>
        <v>166500</v>
      </c>
    </row>
    <row r="186" spans="1:6" x14ac:dyDescent="0.3">
      <c r="A186" s="40" t="s">
        <v>111</v>
      </c>
      <c r="B186" s="41" t="str">
        <f ca="1">IFERROR(INDEX(UNSPSCDes,MATCH(INDIRECT(ADDRESS(ROW(),COLUMN()-1,4)),UNSPSCCode,0)),IF(INDIRECT(ADDRESS(ROW(),COLUMN()-1,4))="10121503","Maíz para forraje",""))</f>
        <v>Maíz para forraje</v>
      </c>
      <c r="C186" s="42" t="str">
        <f>IFERROR(VLOOKUP("Q",'[1]Informacion '!P:Q,2,FALSE),"")</f>
        <v>Quintal</v>
      </c>
      <c r="D186" s="40">
        <v>60</v>
      </c>
      <c r="E186" s="43">
        <v>1300</v>
      </c>
      <c r="F186" s="44">
        <f t="shared" ca="1" si="5"/>
        <v>78000</v>
      </c>
    </row>
    <row r="187" spans="1:6" x14ac:dyDescent="0.3">
      <c r="A187" s="40" t="s">
        <v>113</v>
      </c>
      <c r="B187" s="41" t="str">
        <f ca="1">IFERROR(INDEX(UNSPSCDes,MATCH(INDIRECT(ADDRESS(ROW(),COLUMN()-1,4)),UNSPSCCode,0)),IF(INDIRECT(ADDRESS(ROW(),COLUMN()-1,4))="10121702","Alimento granulado para peces",""))</f>
        <v>Alimento granulado para peces</v>
      </c>
      <c r="C187" s="42" t="str">
        <f>IFERROR(VLOOKUP("UD",'[1]Informacion '!P:Q,2,FALSE),"")</f>
        <v>Unidad</v>
      </c>
      <c r="D187" s="40">
        <v>4</v>
      </c>
      <c r="E187" s="43">
        <v>2200</v>
      </c>
      <c r="F187" s="44">
        <f t="shared" ca="1" si="5"/>
        <v>8800</v>
      </c>
    </row>
    <row r="188" spans="1:6" x14ac:dyDescent="0.3">
      <c r="A188" s="40" t="s">
        <v>112</v>
      </c>
      <c r="B188" s="41" t="str">
        <f ca="1">IFERROR(INDEX(UNSPSCDes,MATCH(INDIRECT(ADDRESS(ROW(),COLUMN()-1,4)),UNSPSCCode,0)),IF(INDIRECT(ADDRESS(ROW(),COLUMN()-1,4))="10121501","Salvado de trigo puro",""))</f>
        <v>Salvado de trigo puro</v>
      </c>
      <c r="C188" s="42" t="str">
        <f>IFERROR(VLOOKUP("Q",'[1]Informacion '!P:Q,2,FALSE),"")</f>
        <v>Quintal</v>
      </c>
      <c r="D188" s="40">
        <v>40</v>
      </c>
      <c r="E188" s="43">
        <v>2000</v>
      </c>
      <c r="F188" s="44">
        <f t="shared" ca="1" si="5"/>
        <v>80000</v>
      </c>
    </row>
    <row r="189" spans="1:6" x14ac:dyDescent="0.3">
      <c r="A189" s="40" t="s">
        <v>114</v>
      </c>
      <c r="B189" s="41" t="str">
        <f ca="1">IFERROR(INDEX(UNSPSCDes,MATCH(INDIRECT(ADDRESS(ROW(),COLUMN()-1,4)),UNSPSCCode,0)),IF(INDIRECT(ADDRESS(ROW(),COLUMN()-1,4))="10121801","Comida seca para perros",""))</f>
        <v>Comida seca para perros</v>
      </c>
      <c r="C189" s="42" t="str">
        <f>IFERROR(VLOOKUP("Q",'[1]Informacion '!P:Q,2,FALSE),"")</f>
        <v>Quintal</v>
      </c>
      <c r="D189" s="40">
        <v>2</v>
      </c>
      <c r="E189" s="43">
        <v>12000</v>
      </c>
      <c r="F189" s="44">
        <f t="shared" ca="1" si="5"/>
        <v>24000</v>
      </c>
    </row>
    <row r="190" spans="1:6" x14ac:dyDescent="0.3">
      <c r="A190" s="40" t="s">
        <v>68</v>
      </c>
      <c r="B190" s="41" t="str">
        <f ca="1">IFERROR(INDEX(UNSPSCDes,MATCH(INDIRECT(ADDRESS(ROW(),COLUMN()-1,4)),UNSPSCCode,0)),IF(INDIRECT(ADDRESS(ROW(),COLUMN()-1,4))="50171551","Sal de mesa",""))</f>
        <v>Sal de mesa</v>
      </c>
      <c r="C190" s="42" t="str">
        <f>IFERROR(VLOOKUP("Q",'[1]Informacion '!P:Q,2,FALSE),"")</f>
        <v>Quintal</v>
      </c>
      <c r="D190" s="40">
        <v>2</v>
      </c>
      <c r="E190" s="43">
        <v>250</v>
      </c>
      <c r="F190" s="44">
        <f t="shared" ca="1" si="5"/>
        <v>500</v>
      </c>
    </row>
    <row r="191" spans="1:6" x14ac:dyDescent="0.3">
      <c r="A191" s="40" t="s">
        <v>114</v>
      </c>
      <c r="B191" s="41" t="str">
        <f ca="1">IFERROR(INDEX(UNSPSCDes,MATCH(INDIRECT(ADDRESS(ROW(),COLUMN()-1,4)),UNSPSCCode,0)),IF(INDIRECT(ADDRESS(ROW(),COLUMN()-1,4))="10121801","Comida seca para perros",""))</f>
        <v>Comida seca para perros</v>
      </c>
      <c r="C191" s="42" t="str">
        <f>IFERROR(VLOOKUP("UD",'[1]Informacion '!P:Q,2,FALSE),"")</f>
        <v>Unidad</v>
      </c>
      <c r="D191" s="40">
        <v>10</v>
      </c>
      <c r="E191" s="43">
        <v>2500</v>
      </c>
      <c r="F191" s="44">
        <f t="shared" ca="1" si="5"/>
        <v>25000</v>
      </c>
    </row>
    <row r="192" spans="1:6" ht="20.399999999999999" x14ac:dyDescent="0.3">
      <c r="A192" s="40" t="s">
        <v>62</v>
      </c>
      <c r="B192" s="41" t="str">
        <f ca="1">IFERROR(INDEX(UNSPSCDes,MATCH(INDIRECT(ADDRESS(ROW(),COLUMN()-1,4)),UNSPSCCode,0)),IF(INDIRECT(ADDRESS(ROW(),COLUMN()-1,4))="50161509","Azucares naturales o productos endulzantes",""))</f>
        <v>Azucares naturales o productos endulzantes</v>
      </c>
      <c r="C192" s="42" t="str">
        <f>IFERROR(VLOOKUP("UD",'[1]Informacion '!P:Q,2,FALSE),"")</f>
        <v>Unidad</v>
      </c>
      <c r="D192" s="40">
        <v>3</v>
      </c>
      <c r="E192" s="43">
        <v>7000</v>
      </c>
      <c r="F192" s="44">
        <f t="shared" ca="1" si="5"/>
        <v>21000</v>
      </c>
    </row>
    <row r="193" spans="1:6" x14ac:dyDescent="0.3">
      <c r="A193" s="40" t="s">
        <v>115</v>
      </c>
      <c r="B193" s="41" t="str">
        <f ca="1">IFERROR(INDEX(UNSPSCDes,MATCH(INDIRECT(ADDRESS(ROW(),COLUMN()-1,4)),UNSPSCCode,0)),IF(INDIRECT(ADDRESS(ROW(),COLUMN()-1,4))="10121504","Sorgo para forraje",""))</f>
        <v>Sorgo para forraje</v>
      </c>
      <c r="C193" s="42" t="str">
        <f>IFERROR(VLOOKUP("UD",'[1]Informacion '!P:Q,2,FALSE),"")</f>
        <v>Unidad</v>
      </c>
      <c r="D193" s="40">
        <v>6</v>
      </c>
      <c r="E193" s="43">
        <v>7000</v>
      </c>
      <c r="F193" s="44">
        <f t="shared" ca="1" si="5"/>
        <v>42000</v>
      </c>
    </row>
    <row r="194" spans="1:6" x14ac:dyDescent="0.3">
      <c r="A194" s="40" t="s">
        <v>116</v>
      </c>
      <c r="B194" s="41" t="str">
        <f ca="1">IFERROR(INDEX(UNSPSCDes,MATCH(INDIRECT(ADDRESS(ROW(),COLUMN()-1,4)),UNSPSCCode,0)),IF(INDIRECT(ADDRESS(ROW(),COLUMN()-1,4))="10171503","Harina de pescado",""))</f>
        <v>Harina de pescado</v>
      </c>
      <c r="C194" s="42" t="str">
        <f>IFERROR(VLOOKUP("UD",'[1]Informacion '!P:Q,2,FALSE),"")</f>
        <v>Unidad</v>
      </c>
      <c r="D194" s="40">
        <v>6</v>
      </c>
      <c r="E194" s="43">
        <v>3500</v>
      </c>
      <c r="F194" s="44">
        <f t="shared" ca="1" si="5"/>
        <v>21000</v>
      </c>
    </row>
    <row r="195" spans="1:6" x14ac:dyDescent="0.3">
      <c r="A195" s="40" t="s">
        <v>114</v>
      </c>
      <c r="B195" s="41" t="str">
        <f ca="1">IFERROR(INDEX(UNSPSCDes,MATCH(INDIRECT(ADDRESS(ROW(),COLUMN()-1,4)),UNSPSCCode,0)),IF(INDIRECT(ADDRESS(ROW(),COLUMN()-1,4))="10121801","Comida seca para perros",""))</f>
        <v>Comida seca para perros</v>
      </c>
      <c r="C195" s="42" t="str">
        <f>IFERROR(VLOOKUP("UD",'[1]Informacion '!P:Q,2,FALSE),"")</f>
        <v>Unidad</v>
      </c>
      <c r="D195" s="40">
        <v>6</v>
      </c>
      <c r="E195" s="43">
        <v>3800</v>
      </c>
      <c r="F195" s="44">
        <f t="shared" ca="1" si="5"/>
        <v>22800</v>
      </c>
    </row>
    <row r="196" spans="1:6" x14ac:dyDescent="0.3">
      <c r="A196" s="40" t="s">
        <v>117</v>
      </c>
      <c r="B196" s="41" t="str">
        <f ca="1">IFERROR(INDEX(UNSPSCDes,MATCH(INDIRECT(ADDRESS(ROW(),COLUMN()-1,4)),UNSPSCCode,0)),IF(INDIRECT(ADDRESS(ROW(),COLUMN()-1,4))="10122102","Comida para visones",""))</f>
        <v>Comida para visones</v>
      </c>
      <c r="C196" s="42" t="str">
        <f>IFERROR(VLOOKUP("UD",'[1]Informacion '!P:Q,2,FALSE),"")</f>
        <v>Unidad</v>
      </c>
      <c r="D196" s="40">
        <v>4</v>
      </c>
      <c r="E196" s="43">
        <v>13000</v>
      </c>
      <c r="F196" s="44">
        <f t="shared" ca="1" si="5"/>
        <v>52000</v>
      </c>
    </row>
    <row r="197" spans="1:6" x14ac:dyDescent="0.3">
      <c r="A197" s="40" t="s">
        <v>118</v>
      </c>
      <c r="B197" s="41" t="str">
        <f ca="1">IFERROR(INDEX(UNSPSCDes,MATCH(INDIRECT(ADDRESS(ROW(),COLUMN()-1,4)),UNSPSCCode,0)),IF(INDIRECT(ADDRESS(ROW(),COLUMN()-1,4))="10121804","Comida seca para gatos",""))</f>
        <v>Comida seca para gatos</v>
      </c>
      <c r="C197" s="42" t="str">
        <f>IFERROR(VLOOKUP("UD",'[1]Informacion '!P:Q,2,FALSE),"")</f>
        <v>Unidad</v>
      </c>
      <c r="D197" s="40">
        <v>6</v>
      </c>
      <c r="E197" s="43">
        <v>2100</v>
      </c>
      <c r="F197" s="44">
        <f t="shared" ca="1" si="5"/>
        <v>12600</v>
      </c>
    </row>
    <row r="198" spans="1:6" x14ac:dyDescent="0.3">
      <c r="A198" s="40" t="s">
        <v>112</v>
      </c>
      <c r="B198" s="41" t="str">
        <f ca="1">IFERROR(INDEX(UNSPSCDes,MATCH(INDIRECT(ADDRESS(ROW(),COLUMN()-1,4)),UNSPSCCode,0)),IF(INDIRECT(ADDRESS(ROW(),COLUMN()-1,4))="10121501","Salvado de trigo puro",""))</f>
        <v>Salvado de trigo puro</v>
      </c>
      <c r="C198" s="42" t="str">
        <f>IFERROR(VLOOKUP("UD",'[1]Informacion '!P:Q,2,FALSE),"")</f>
        <v>Unidad</v>
      </c>
      <c r="D198" s="40">
        <v>3</v>
      </c>
      <c r="E198" s="43">
        <v>1500</v>
      </c>
      <c r="F198" s="44">
        <f t="shared" ca="1" si="5"/>
        <v>4500</v>
      </c>
    </row>
    <row r="199" spans="1:6" x14ac:dyDescent="0.3">
      <c r="A199" s="40" t="s">
        <v>117</v>
      </c>
      <c r="B199" s="41" t="str">
        <f ca="1">IFERROR(INDEX(UNSPSCDes,MATCH(INDIRECT(ADDRESS(ROW(),COLUMN()-1,4)),UNSPSCCode,0)),IF(INDIRECT(ADDRESS(ROW(),COLUMN()-1,4))="10122102","Comida para visones",""))</f>
        <v>Comida para visones</v>
      </c>
      <c r="C199" s="42" t="str">
        <f>IFERROR(VLOOKUP("UD",'[1]Informacion '!P:Q,2,FALSE),"")</f>
        <v>Unidad</v>
      </c>
      <c r="D199" s="40">
        <v>4</v>
      </c>
      <c r="E199" s="43">
        <v>13000</v>
      </c>
      <c r="F199" s="44">
        <f t="shared" ca="1" si="5"/>
        <v>52000</v>
      </c>
    </row>
    <row r="200" spans="1:6" x14ac:dyDescent="0.3">
      <c r="A200" s="40" t="s">
        <v>119</v>
      </c>
      <c r="B200" s="41" t="str">
        <f ca="1">IFERROR(INDEX(UNSPSCDes,MATCH(INDIRECT(ADDRESS(ROW(),COLUMN()-1,4)),UNSPSCCode,0)),IF(INDIRECT(ADDRESS(ROW(),COLUMN()-1,4))="10121604","Alimento avícola",""))</f>
        <v>Alimento avícola</v>
      </c>
      <c r="C200" s="42" t="str">
        <f>IFERROR(VLOOKUP("UD",'[1]Informacion '!P:Q,2,FALSE),"")</f>
        <v>Unidad</v>
      </c>
      <c r="D200" s="40">
        <v>7</v>
      </c>
      <c r="E200" s="43">
        <v>3000</v>
      </c>
      <c r="F200" s="44">
        <f t="shared" ca="1" si="5"/>
        <v>21000</v>
      </c>
    </row>
    <row r="201" spans="1:6" x14ac:dyDescent="0.3">
      <c r="A201" s="30"/>
      <c r="B201" s="30"/>
      <c r="C201" s="30"/>
      <c r="D201" s="30"/>
      <c r="E201" s="45" t="s">
        <v>52</v>
      </c>
      <c r="F201" s="46">
        <f ca="1">SUM(Table9[MONTO TOTAL ESTIMADO])</f>
        <v>1001700</v>
      </c>
    </row>
    <row r="202" spans="1:6" ht="15" thickBot="1" x14ac:dyDescent="0.35">
      <c r="A202" s="30"/>
      <c r="B202" s="30"/>
      <c r="C202" s="30"/>
      <c r="D202" s="30"/>
      <c r="E202" s="30"/>
      <c r="F202" s="30"/>
    </row>
    <row r="203" spans="1:6" ht="21" thickBot="1" x14ac:dyDescent="0.35">
      <c r="A203" s="31" t="s">
        <v>19</v>
      </c>
      <c r="B203" s="31" t="s">
        <v>20</v>
      </c>
      <c r="C203" s="31" t="s">
        <v>21</v>
      </c>
      <c r="D203" s="31" t="s">
        <v>22</v>
      </c>
      <c r="E203" s="31" t="s">
        <v>23</v>
      </c>
      <c r="F203" s="31" t="s">
        <v>24</v>
      </c>
    </row>
    <row r="204" spans="1:6" ht="21" thickBot="1" x14ac:dyDescent="0.35">
      <c r="A204" s="12" t="s">
        <v>120</v>
      </c>
      <c r="B204" s="12" t="s">
        <v>121</v>
      </c>
      <c r="C204" s="12" t="s">
        <v>27</v>
      </c>
      <c r="D204" s="12" t="s">
        <v>28</v>
      </c>
      <c r="E204" s="12" t="s">
        <v>59</v>
      </c>
      <c r="F204" s="12" t="s">
        <v>18</v>
      </c>
    </row>
    <row r="205" spans="1:6" ht="15" thickBot="1" x14ac:dyDescent="0.35">
      <c r="A205" s="32" t="s">
        <v>30</v>
      </c>
      <c r="B205" s="33" t="s">
        <v>31</v>
      </c>
      <c r="C205" s="34">
        <v>45726</v>
      </c>
      <c r="D205" s="32" t="s">
        <v>32</v>
      </c>
      <c r="E205" s="35" t="s">
        <v>33</v>
      </c>
      <c r="F205" s="36" t="s">
        <v>34</v>
      </c>
    </row>
    <row r="206" spans="1:6" ht="15" thickBot="1" x14ac:dyDescent="0.35">
      <c r="A206" s="37"/>
      <c r="B206" s="33" t="s">
        <v>35</v>
      </c>
      <c r="C206" s="38">
        <f>IF(C205="","",IF(AND(MONTH(C205)&gt;=1,MONTH(C205)&lt;=3),1,IF(AND(MONTH(C205)&gt;=4,MONTH(C205)&lt;=6),2,IF(AND(MONTH(C205)&gt;=7,MONTH(C205)&lt;=9),3,4))))</f>
        <v>1</v>
      </c>
      <c r="D206" s="37"/>
      <c r="E206" s="35" t="s">
        <v>36</v>
      </c>
      <c r="F206" s="36" t="s">
        <v>37</v>
      </c>
    </row>
    <row r="207" spans="1:6" ht="15" thickBot="1" x14ac:dyDescent="0.35">
      <c r="A207" s="37"/>
      <c r="B207" s="33" t="s">
        <v>38</v>
      </c>
      <c r="C207" s="34">
        <v>45730</v>
      </c>
      <c r="D207" s="37"/>
      <c r="E207" s="35" t="s">
        <v>39</v>
      </c>
      <c r="F207" s="36" t="s">
        <v>37</v>
      </c>
    </row>
    <row r="208" spans="1:6" ht="15" thickBot="1" x14ac:dyDescent="0.35">
      <c r="A208" s="37"/>
      <c r="B208" s="33" t="s">
        <v>35</v>
      </c>
      <c r="C208" s="38">
        <f>IF(C207="","",IF(AND(MONTH(C207)&gt;=1,MONTH(C207)&lt;=3),1,IF(AND(MONTH(C207)&gt;=4,MONTH(C207)&lt;=6),2,IF(AND(MONTH(C207)&gt;=7,MONTH(C207)&lt;=9),3,4))))</f>
        <v>1</v>
      </c>
      <c r="D208" s="37"/>
      <c r="E208" s="35" t="s">
        <v>40</v>
      </c>
      <c r="F208" s="36"/>
    </row>
    <row r="209" spans="1:6" ht="15" thickBot="1" x14ac:dyDescent="0.35">
      <c r="A209" s="30"/>
      <c r="B209" s="30"/>
      <c r="C209" s="30"/>
      <c r="D209" s="30"/>
      <c r="E209" s="30"/>
      <c r="F209" s="30"/>
    </row>
    <row r="210" spans="1:6" ht="15" thickBot="1" x14ac:dyDescent="0.35">
      <c r="A210" s="39" t="s">
        <v>41</v>
      </c>
      <c r="B210" s="39" t="s">
        <v>42</v>
      </c>
      <c r="C210" s="39" t="s">
        <v>43</v>
      </c>
      <c r="D210" s="39" t="s">
        <v>44</v>
      </c>
      <c r="E210" s="39" t="s">
        <v>45</v>
      </c>
      <c r="F210" s="39" t="s">
        <v>46</v>
      </c>
    </row>
    <row r="211" spans="1:6" x14ac:dyDescent="0.3">
      <c r="A211" s="40" t="s">
        <v>122</v>
      </c>
      <c r="B211" s="41" t="str">
        <f ca="1">IFERROR(INDEX(UNSPSCDes,MATCH(INDIRECT(ADDRESS(ROW(),COLUMN()-1,4)),UNSPSCCode,0)),IF(INDIRECT(ADDRESS(ROW(),COLUMN()-1,4))="10121505","Heno",""))</f>
        <v>Heno</v>
      </c>
      <c r="C211" s="42" t="str">
        <f>IFERROR(VLOOKUP("UD",'[1]Informacion '!P:Q,2,FALSE),"")</f>
        <v>Unidad</v>
      </c>
      <c r="D211" s="40">
        <v>8500</v>
      </c>
      <c r="E211" s="43">
        <v>200</v>
      </c>
      <c r="F211" s="44">
        <f ca="1">INDIRECT(ADDRESS(ROW(),COLUMN()-2,4))*INDIRECT(ADDRESS(ROW(),COLUMN()-1,4))</f>
        <v>1700000</v>
      </c>
    </row>
    <row r="212" spans="1:6" x14ac:dyDescent="0.3">
      <c r="A212" s="30"/>
      <c r="B212" s="30"/>
      <c r="C212" s="30"/>
      <c r="D212" s="30"/>
      <c r="E212" s="45" t="s">
        <v>52</v>
      </c>
      <c r="F212" s="46">
        <f ca="1">SUM(Table10[MONTO TOTAL ESTIMADO])</f>
        <v>1700000</v>
      </c>
    </row>
    <row r="213" spans="1:6" ht="15" thickBot="1" x14ac:dyDescent="0.35">
      <c r="A213" s="30"/>
      <c r="B213" s="30"/>
      <c r="C213" s="30"/>
      <c r="D213" s="30"/>
      <c r="E213" s="30"/>
      <c r="F213" s="30"/>
    </row>
    <row r="214" spans="1:6" ht="21" thickBot="1" x14ac:dyDescent="0.35">
      <c r="A214" s="31" t="s">
        <v>19</v>
      </c>
      <c r="B214" s="31" t="s">
        <v>20</v>
      </c>
      <c r="C214" s="31" t="s">
        <v>21</v>
      </c>
      <c r="D214" s="31" t="s">
        <v>22</v>
      </c>
      <c r="E214" s="31" t="s">
        <v>23</v>
      </c>
      <c r="F214" s="31" t="s">
        <v>24</v>
      </c>
    </row>
    <row r="215" spans="1:6" ht="21" thickBot="1" x14ac:dyDescent="0.35">
      <c r="A215" s="12" t="s">
        <v>123</v>
      </c>
      <c r="B215" s="12" t="s">
        <v>123</v>
      </c>
      <c r="C215" s="12" t="s">
        <v>27</v>
      </c>
      <c r="D215" s="12" t="s">
        <v>80</v>
      </c>
      <c r="E215" s="12" t="s">
        <v>59</v>
      </c>
      <c r="F215" s="12" t="s">
        <v>18</v>
      </c>
    </row>
    <row r="216" spans="1:6" ht="15" thickBot="1" x14ac:dyDescent="0.35">
      <c r="A216" s="32" t="s">
        <v>30</v>
      </c>
      <c r="B216" s="33" t="s">
        <v>31</v>
      </c>
      <c r="C216" s="34">
        <v>45692</v>
      </c>
      <c r="D216" s="32" t="s">
        <v>32</v>
      </c>
      <c r="E216" s="35" t="s">
        <v>33</v>
      </c>
      <c r="F216" s="36" t="s">
        <v>34</v>
      </c>
    </row>
    <row r="217" spans="1:6" ht="15" thickBot="1" x14ac:dyDescent="0.35">
      <c r="A217" s="37"/>
      <c r="B217" s="33" t="s">
        <v>35</v>
      </c>
      <c r="C217" s="38">
        <f>IF(C216="","",IF(AND(MONTH(C216)&gt;=1,MONTH(C216)&lt;=3),1,IF(AND(MONTH(C216)&gt;=4,MONTH(C216)&lt;=6),2,IF(AND(MONTH(C216)&gt;=7,MONTH(C216)&lt;=9),3,4))))</f>
        <v>1</v>
      </c>
      <c r="D217" s="37"/>
      <c r="E217" s="35" t="s">
        <v>36</v>
      </c>
      <c r="F217" s="36" t="s">
        <v>37</v>
      </c>
    </row>
    <row r="218" spans="1:6" ht="15" thickBot="1" x14ac:dyDescent="0.35">
      <c r="A218" s="37"/>
      <c r="B218" s="33" t="s">
        <v>38</v>
      </c>
      <c r="C218" s="34">
        <v>45693</v>
      </c>
      <c r="D218" s="37"/>
      <c r="E218" s="35" t="s">
        <v>39</v>
      </c>
      <c r="F218" s="36" t="s">
        <v>37</v>
      </c>
    </row>
    <row r="219" spans="1:6" ht="15" thickBot="1" x14ac:dyDescent="0.35">
      <c r="A219" s="37"/>
      <c r="B219" s="33" t="s">
        <v>35</v>
      </c>
      <c r="C219" s="38">
        <f>IF(C218="","",IF(AND(MONTH(C218)&gt;=1,MONTH(C218)&lt;=3),1,IF(AND(MONTH(C218)&gt;=4,MONTH(C218)&lt;=6),2,IF(AND(MONTH(C218)&gt;=7,MONTH(C218)&lt;=9),3,4))))</f>
        <v>1</v>
      </c>
      <c r="D219" s="37"/>
      <c r="E219" s="35" t="s">
        <v>40</v>
      </c>
      <c r="F219" s="36"/>
    </row>
    <row r="220" spans="1:6" ht="15" thickBot="1" x14ac:dyDescent="0.35">
      <c r="A220" s="30"/>
      <c r="B220" s="30"/>
      <c r="C220" s="30"/>
      <c r="D220" s="30"/>
      <c r="E220" s="30"/>
      <c r="F220" s="30"/>
    </row>
    <row r="221" spans="1:6" ht="15" thickBot="1" x14ac:dyDescent="0.35">
      <c r="A221" s="39" t="s">
        <v>41</v>
      </c>
      <c r="B221" s="39" t="s">
        <v>42</v>
      </c>
      <c r="C221" s="39" t="s">
        <v>43</v>
      </c>
      <c r="D221" s="39" t="s">
        <v>44</v>
      </c>
      <c r="E221" s="39" t="s">
        <v>45</v>
      </c>
      <c r="F221" s="39" t="s">
        <v>46</v>
      </c>
    </row>
    <row r="222" spans="1:6" x14ac:dyDescent="0.3">
      <c r="A222" s="40" t="s">
        <v>124</v>
      </c>
      <c r="B222" s="41" t="str">
        <f ca="1">IFERROR(INDEX(UNSPSCDes,MATCH(INDIRECT(ADDRESS(ROW(),COLUMN()-1,4)),UNSPSCCode,0)),IF(INDIRECT(ADDRESS(ROW(),COLUMN()-1,4))="42132205","Guantes de cirugía",""))</f>
        <v>Guantes de cirugía</v>
      </c>
      <c r="C222" s="42" t="str">
        <f>IFERROR(VLOOKUP("CAJ",'[1]Informacion '!P:Q,2,FALSE),"")</f>
        <v>Caja</v>
      </c>
      <c r="D222" s="40">
        <v>30</v>
      </c>
      <c r="E222" s="43">
        <v>350</v>
      </c>
      <c r="F222" s="44">
        <f t="shared" ref="F222:F246" ca="1" si="6">INDIRECT(ADDRESS(ROW(),COLUMN()-2,4))*INDIRECT(ADDRESS(ROW(),COLUMN()-1,4))</f>
        <v>10500</v>
      </c>
    </row>
    <row r="223" spans="1:6" x14ac:dyDescent="0.3">
      <c r="A223" s="40" t="s">
        <v>124</v>
      </c>
      <c r="B223" s="41" t="str">
        <f ca="1">IFERROR(INDEX(UNSPSCDes,MATCH(INDIRECT(ADDRESS(ROW(),COLUMN()-1,4)),UNSPSCCode,0)),IF(INDIRECT(ADDRESS(ROW(),COLUMN()-1,4))="42132205","Guantes de cirugía",""))</f>
        <v>Guantes de cirugía</v>
      </c>
      <c r="C223" s="42" t="str">
        <f>IFERROR(VLOOKUP("CAJ",'[1]Informacion '!P:Q,2,FALSE),"")</f>
        <v>Caja</v>
      </c>
      <c r="D223" s="40">
        <v>30</v>
      </c>
      <c r="E223" s="43">
        <v>350</v>
      </c>
      <c r="F223" s="44">
        <f t="shared" ca="1" si="6"/>
        <v>10500</v>
      </c>
    </row>
    <row r="224" spans="1:6" x14ac:dyDescent="0.3">
      <c r="A224" s="40" t="s">
        <v>124</v>
      </c>
      <c r="B224" s="41" t="str">
        <f ca="1">IFERROR(INDEX(UNSPSCDes,MATCH(INDIRECT(ADDRESS(ROW(),COLUMN()-1,4)),UNSPSCCode,0)),IF(INDIRECT(ADDRESS(ROW(),COLUMN()-1,4))="42132205","Guantes de cirugía",""))</f>
        <v>Guantes de cirugía</v>
      </c>
      <c r="C224" s="42" t="str">
        <f>IFERROR(VLOOKUP("CAJ",'[1]Informacion '!P:Q,2,FALSE),"")</f>
        <v>Caja</v>
      </c>
      <c r="D224" s="40">
        <v>30</v>
      </c>
      <c r="E224" s="43">
        <v>350</v>
      </c>
      <c r="F224" s="44">
        <f t="shared" ca="1" si="6"/>
        <v>10500</v>
      </c>
    </row>
    <row r="225" spans="1:6" x14ac:dyDescent="0.3">
      <c r="A225" s="40" t="s">
        <v>125</v>
      </c>
      <c r="B225" s="41" t="str">
        <f ca="1">IFERROR(INDEX(UNSPSCDes,MATCH(INDIRECT(ADDRESS(ROW(),COLUMN()-1,4)),UNSPSCCode,0)),IF(INDIRECT(ADDRESS(ROW(),COLUMN()-1,4))="10111305","Tratamientos medicados para mascotas",""))</f>
        <v>Tratamientos medicados para mascotas</v>
      </c>
      <c r="C225" s="42" t="str">
        <f>IFERROR(VLOOKUP("UD",'[1]Informacion '!P:Q,2,FALSE),"")</f>
        <v>Unidad</v>
      </c>
      <c r="D225" s="40">
        <v>3</v>
      </c>
      <c r="E225" s="43">
        <v>1600</v>
      </c>
      <c r="F225" s="44">
        <f t="shared" ca="1" si="6"/>
        <v>4800</v>
      </c>
    </row>
    <row r="226" spans="1:6" x14ac:dyDescent="0.3">
      <c r="A226" s="40" t="s">
        <v>125</v>
      </c>
      <c r="B226" s="41" t="str">
        <f ca="1">IFERROR(INDEX(UNSPSCDes,MATCH(INDIRECT(ADDRESS(ROW(),COLUMN()-1,4)),UNSPSCCode,0)),IF(INDIRECT(ADDRESS(ROW(),COLUMN()-1,4))="10111305","Tratamientos medicados para mascotas",""))</f>
        <v>Tratamientos medicados para mascotas</v>
      </c>
      <c r="C226" s="42" t="str">
        <f>IFERROR(VLOOKUP("UD",'[1]Informacion '!P:Q,2,FALSE),"")</f>
        <v>Unidad</v>
      </c>
      <c r="D226" s="40">
        <v>3</v>
      </c>
      <c r="E226" s="43">
        <v>2000</v>
      </c>
      <c r="F226" s="44">
        <f t="shared" ca="1" si="6"/>
        <v>6000</v>
      </c>
    </row>
    <row r="227" spans="1:6" ht="20.399999999999999" x14ac:dyDescent="0.3">
      <c r="A227" s="40" t="s">
        <v>126</v>
      </c>
      <c r="B227" s="41" t="str">
        <f ca="1">IFERROR(INDEX(UNSPSCDes,MATCH(INDIRECT(ADDRESS(ROW(),COLUMN()-1,4)),UNSPSCCode,0)),IF(INDIRECT(ADDRESS(ROW(),COLUMN()-1,4))="42121606","Productos dermatológicos o anti protozoarios para uso veterinario",""))</f>
        <v>Productos dermatológicos o anti protozoarios para uso veterinario</v>
      </c>
      <c r="C227" s="42" t="str">
        <f>IFERROR(VLOOKUP("UD",'[1]Informacion '!P:Q,2,FALSE),"")</f>
        <v>Unidad</v>
      </c>
      <c r="D227" s="40">
        <v>24</v>
      </c>
      <c r="E227" s="43">
        <v>400</v>
      </c>
      <c r="F227" s="44">
        <f t="shared" ca="1" si="6"/>
        <v>9600</v>
      </c>
    </row>
    <row r="228" spans="1:6" x14ac:dyDescent="0.3">
      <c r="A228" s="40" t="s">
        <v>125</v>
      </c>
      <c r="B228" s="41" t="str">
        <f ca="1">IFERROR(INDEX(UNSPSCDes,MATCH(INDIRECT(ADDRESS(ROW(),COLUMN()-1,4)),UNSPSCCode,0)),IF(INDIRECT(ADDRESS(ROW(),COLUMN()-1,4))="10111305","Tratamientos medicados para mascotas",""))</f>
        <v>Tratamientos medicados para mascotas</v>
      </c>
      <c r="C228" s="42" t="str">
        <f>IFERROR(VLOOKUP("UD",'[1]Informacion '!P:Q,2,FALSE),"")</f>
        <v>Unidad</v>
      </c>
      <c r="D228" s="40">
        <v>2</v>
      </c>
      <c r="E228" s="43">
        <v>600</v>
      </c>
      <c r="F228" s="44">
        <f t="shared" ca="1" si="6"/>
        <v>1200</v>
      </c>
    </row>
    <row r="229" spans="1:6" x14ac:dyDescent="0.3">
      <c r="A229" s="40" t="s">
        <v>125</v>
      </c>
      <c r="B229" s="41" t="str">
        <f ca="1">IFERROR(INDEX(UNSPSCDes,MATCH(INDIRECT(ADDRESS(ROW(),COLUMN()-1,4)),UNSPSCCode,0)),IF(INDIRECT(ADDRESS(ROW(),COLUMN()-1,4))="10111305","Tratamientos medicados para mascotas",""))</f>
        <v>Tratamientos medicados para mascotas</v>
      </c>
      <c r="C229" s="42" t="str">
        <f>IFERROR(VLOOKUP("UD",'[1]Informacion '!P:Q,2,FALSE),"")</f>
        <v>Unidad</v>
      </c>
      <c r="D229" s="40">
        <v>1</v>
      </c>
      <c r="E229" s="43">
        <v>800</v>
      </c>
      <c r="F229" s="44">
        <f t="shared" ca="1" si="6"/>
        <v>800</v>
      </c>
    </row>
    <row r="230" spans="1:6" ht="20.399999999999999" x14ac:dyDescent="0.3">
      <c r="A230" s="40" t="s">
        <v>126</v>
      </c>
      <c r="B230" s="41" t="str">
        <f ca="1">IFERROR(INDEX(UNSPSCDes,MATCH(INDIRECT(ADDRESS(ROW(),COLUMN()-1,4)),UNSPSCCode,0)),IF(INDIRECT(ADDRESS(ROW(),COLUMN()-1,4))="42121606","Productos dermatológicos o anti protozoarios para uso veterinario",""))</f>
        <v>Productos dermatológicos o anti protozoarios para uso veterinario</v>
      </c>
      <c r="C230" s="42" t="str">
        <f>IFERROR(VLOOKUP("UD",'[1]Informacion '!P:Q,2,FALSE),"")</f>
        <v>Unidad</v>
      </c>
      <c r="D230" s="40">
        <v>1</v>
      </c>
      <c r="E230" s="43">
        <v>500</v>
      </c>
      <c r="F230" s="44">
        <f t="shared" ca="1" si="6"/>
        <v>500</v>
      </c>
    </row>
    <row r="231" spans="1:6" x14ac:dyDescent="0.3">
      <c r="A231" s="40" t="s">
        <v>127</v>
      </c>
      <c r="B231" s="41" t="str">
        <f ca="1">IFERROR(INDEX(UNSPSCDes,MATCH(INDIRECT(ADDRESS(ROW(),COLUMN()-1,4)),UNSPSCCode,0)),IF(INDIRECT(ADDRESS(ROW(),COLUMN()-1,4))="12141916","Yodo i",""))</f>
        <v>Yodo i</v>
      </c>
      <c r="C231" s="42" t="str">
        <f>IFERROR(VLOOKUP("GAL",'[1]Informacion '!P:Q,2,FALSE),"")</f>
        <v>Galón</v>
      </c>
      <c r="D231" s="40">
        <v>3</v>
      </c>
      <c r="E231" s="43">
        <v>1000</v>
      </c>
      <c r="F231" s="44">
        <f t="shared" ca="1" si="6"/>
        <v>3000</v>
      </c>
    </row>
    <row r="232" spans="1:6" x14ac:dyDescent="0.3">
      <c r="A232" s="40" t="s">
        <v>128</v>
      </c>
      <c r="B232" s="41" t="str">
        <f ca="1">IFERROR(INDEX(UNSPSCDes,MATCH(INDIRECT(ADDRESS(ROW(),COLUMN()-1,4)),UNSPSCCode,0)),IF(INDIRECT(ADDRESS(ROW(),COLUMN()-1,4))="12352104","Alcoholes o sus sustitutos",""))</f>
        <v>Alcoholes o sus sustitutos</v>
      </c>
      <c r="C232" s="42" t="str">
        <f>IFERROR(VLOOKUP("GAL",'[1]Informacion '!P:Q,2,FALSE),"")</f>
        <v>Galón</v>
      </c>
      <c r="D232" s="40">
        <v>3</v>
      </c>
      <c r="E232" s="43">
        <v>600</v>
      </c>
      <c r="F232" s="44">
        <f t="shared" ca="1" si="6"/>
        <v>1800</v>
      </c>
    </row>
    <row r="233" spans="1:6" x14ac:dyDescent="0.3">
      <c r="A233" s="40" t="s">
        <v>125</v>
      </c>
      <c r="B233" s="41" t="str">
        <f ca="1">IFERROR(INDEX(UNSPSCDes,MATCH(INDIRECT(ADDRESS(ROW(),COLUMN()-1,4)),UNSPSCCode,0)),IF(INDIRECT(ADDRESS(ROW(),COLUMN()-1,4))="10111305","Tratamientos medicados para mascotas",""))</f>
        <v>Tratamientos medicados para mascotas</v>
      </c>
      <c r="C233" s="42" t="str">
        <f>IFERROR(VLOOKUP("UD",'[1]Informacion '!P:Q,2,FALSE),"")</f>
        <v>Unidad</v>
      </c>
      <c r="D233" s="40">
        <v>2</v>
      </c>
      <c r="E233" s="43">
        <v>400</v>
      </c>
      <c r="F233" s="44">
        <f t="shared" ca="1" si="6"/>
        <v>800</v>
      </c>
    </row>
    <row r="234" spans="1:6" x14ac:dyDescent="0.3">
      <c r="A234" s="40" t="s">
        <v>129</v>
      </c>
      <c r="B234" s="41" t="str">
        <f ca="1">IFERROR(INDEX(UNSPSCDes,MATCH(INDIRECT(ADDRESS(ROW(),COLUMN()-1,4)),UNSPSCCode,0)),IF(INDIRECT(ADDRESS(ROW(),COLUMN()-1,4))="12352501","Formaldehidos",""))</f>
        <v>Formaldehidos</v>
      </c>
      <c r="C234" s="42" t="str">
        <f>IFERROR(VLOOKUP("GAL",'[1]Informacion '!P:Q,2,FALSE),"")</f>
        <v>Galón</v>
      </c>
      <c r="D234" s="40">
        <v>2</v>
      </c>
      <c r="E234" s="43">
        <v>1000</v>
      </c>
      <c r="F234" s="44">
        <f t="shared" ca="1" si="6"/>
        <v>2000</v>
      </c>
    </row>
    <row r="235" spans="1:6" x14ac:dyDescent="0.3">
      <c r="A235" s="40" t="s">
        <v>130</v>
      </c>
      <c r="B235" s="41" t="str">
        <f ca="1">IFERROR(INDEX(UNSPSCDes,MATCH(INDIRECT(ADDRESS(ROW(),COLUMN()-1,4)),UNSPSCCode,0)),IF(INDIRECT(ADDRESS(ROW(),COLUMN()-1,4))="51142106","Ibuprofeno",""))</f>
        <v>Ibuprofeno</v>
      </c>
      <c r="C235" s="42" t="str">
        <f>IFERROR(VLOOKUP("CAJ",'[1]Informacion '!P:Q,2,FALSE),"")</f>
        <v>Caja</v>
      </c>
      <c r="D235" s="40">
        <v>2</v>
      </c>
      <c r="E235" s="43">
        <v>800</v>
      </c>
      <c r="F235" s="44">
        <f t="shared" ca="1" si="6"/>
        <v>1600</v>
      </c>
    </row>
    <row r="236" spans="1:6" x14ac:dyDescent="0.3">
      <c r="A236" s="40" t="s">
        <v>131</v>
      </c>
      <c r="B236" s="41" t="str">
        <f ca="1">IFERROR(INDEX(UNSPSCDes,MATCH(INDIRECT(ADDRESS(ROW(),COLUMN()-1,4)),UNSPSCCode,0)),IF(INDIRECT(ADDRESS(ROW(),COLUMN()-1,4))="51142001","Acetaminofén",""))</f>
        <v>Acetaminofén</v>
      </c>
      <c r="C236" s="42" t="str">
        <f>IFERROR(VLOOKUP("CAJ",'[1]Informacion '!P:Q,2,FALSE),"")</f>
        <v>Caja</v>
      </c>
      <c r="D236" s="40">
        <v>1</v>
      </c>
      <c r="E236" s="43">
        <v>600</v>
      </c>
      <c r="F236" s="44">
        <f t="shared" ca="1" si="6"/>
        <v>600</v>
      </c>
    </row>
    <row r="237" spans="1:6" x14ac:dyDescent="0.3">
      <c r="A237" s="40" t="s">
        <v>132</v>
      </c>
      <c r="B237" s="41" t="str">
        <f ca="1">IFERROR(INDEX(UNSPSCDes,MATCH(INDIRECT(ADDRESS(ROW(),COLUMN()-1,4)),UNSPSCCode,0)),IF(INDIRECT(ADDRESS(ROW(),COLUMN()-1,4))="51161606","Loratadina",""))</f>
        <v>Loratadina</v>
      </c>
      <c r="C237" s="42" t="str">
        <f>IFERROR(VLOOKUP("CAJ",'[1]Informacion '!P:Q,2,FALSE),"")</f>
        <v>Caja</v>
      </c>
      <c r="D237" s="40">
        <v>4</v>
      </c>
      <c r="E237" s="43">
        <v>1900</v>
      </c>
      <c r="F237" s="44">
        <f t="shared" ca="1" si="6"/>
        <v>7600</v>
      </c>
    </row>
    <row r="238" spans="1:6" x14ac:dyDescent="0.3">
      <c r="A238" s="40" t="s">
        <v>131</v>
      </c>
      <c r="B238" s="41" t="str">
        <f ca="1">IFERROR(INDEX(UNSPSCDes,MATCH(INDIRECT(ADDRESS(ROW(),COLUMN()-1,4)),UNSPSCCode,0)),IF(INDIRECT(ADDRESS(ROW(),COLUMN()-1,4))="51142001","Acetaminofén",""))</f>
        <v>Acetaminofén</v>
      </c>
      <c r="C238" s="42" t="str">
        <f>IFERROR(VLOOKUP("UD",'[1]Informacion '!P:Q,2,FALSE),"")</f>
        <v>Unidad</v>
      </c>
      <c r="D238" s="40">
        <v>2</v>
      </c>
      <c r="E238" s="43">
        <v>250</v>
      </c>
      <c r="F238" s="44">
        <f t="shared" ca="1" si="6"/>
        <v>500</v>
      </c>
    </row>
    <row r="239" spans="1:6" x14ac:dyDescent="0.3">
      <c r="A239" s="40" t="s">
        <v>133</v>
      </c>
      <c r="B239" s="41" t="str">
        <f ca="1">IFERROR(INDEX(UNSPSCDes,MATCH(INDIRECT(ADDRESS(ROW(),COLUMN()-1,4)),UNSPSCCode,0)),IF(INDIRECT(ADDRESS(ROW(),COLUMN()-1,4))="51102208","Pentosano polisulfato sódico",""))</f>
        <v>Pentosano polisulfato sódico</v>
      </c>
      <c r="C239" s="42" t="str">
        <f>IFERROR(VLOOKUP("UD",'[1]Informacion '!P:Q,2,FALSE),"")</f>
        <v>Unidad</v>
      </c>
      <c r="D239" s="40">
        <v>2</v>
      </c>
      <c r="E239" s="43">
        <v>300</v>
      </c>
      <c r="F239" s="44">
        <f t="shared" ca="1" si="6"/>
        <v>600</v>
      </c>
    </row>
    <row r="240" spans="1:6" x14ac:dyDescent="0.3">
      <c r="A240" s="40" t="s">
        <v>134</v>
      </c>
      <c r="B240" s="41" t="str">
        <f ca="1">IFERROR(INDEX(UNSPSCDes,MATCH(INDIRECT(ADDRESS(ROW(),COLUMN()-1,4)),UNSPSCCode,0)),IF(INDIRECT(ADDRESS(ROW(),COLUMN()-1,4))="51191604","Solución ringer lactato",""))</f>
        <v>Solución ringer lactato</v>
      </c>
      <c r="C240" s="42" t="str">
        <f>IFERROR(VLOOKUP("L",'[1]Informacion '!P:Q,2,FALSE),"")</f>
        <v>Litro</v>
      </c>
      <c r="D240" s="40">
        <v>5</v>
      </c>
      <c r="E240" s="43">
        <v>130</v>
      </c>
      <c r="F240" s="44">
        <f t="shared" ca="1" si="6"/>
        <v>650</v>
      </c>
    </row>
    <row r="241" spans="1:6" ht="20.399999999999999" x14ac:dyDescent="0.3">
      <c r="A241" s="40" t="s">
        <v>135</v>
      </c>
      <c r="B241" s="41" t="str">
        <f ca="1">IFERROR(INDEX(UNSPSCDes,MATCH(INDIRECT(ADDRESS(ROW(),COLUMN()-1,4)),UNSPSCCode,0)),IF(INDIRECT(ADDRESS(ROW(),COLUMN()-1,4))="42311708","Cintas adherentes médicas o quirúrgicas para uso general",""))</f>
        <v>Cintas adherentes médicas o quirúrgicas para uso general</v>
      </c>
      <c r="C241" s="42" t="str">
        <f>IFERROR(VLOOKUP("CAJ",'[1]Informacion '!P:Q,2,FALSE),"")</f>
        <v>Caja</v>
      </c>
      <c r="D241" s="40">
        <v>2</v>
      </c>
      <c r="E241" s="43">
        <v>300</v>
      </c>
      <c r="F241" s="44">
        <f t="shared" ca="1" si="6"/>
        <v>600</v>
      </c>
    </row>
    <row r="242" spans="1:6" x14ac:dyDescent="0.3">
      <c r="A242" s="40" t="s">
        <v>136</v>
      </c>
      <c r="B242" s="41" t="str">
        <f ca="1">IFERROR(INDEX(UNSPSCDes,MATCH(INDIRECT(ADDRESS(ROW(),COLUMN()-1,4)),UNSPSCCode,0)),IF(INDIRECT(ADDRESS(ROW(),COLUMN()-1,4))="51161803","Mentol",""))</f>
        <v>Mentol</v>
      </c>
      <c r="C242" s="42" t="str">
        <f>IFERROR(VLOOKUP("UD",'[1]Informacion '!P:Q,2,FALSE),"")</f>
        <v>Unidad</v>
      </c>
      <c r="D242" s="40">
        <v>1</v>
      </c>
      <c r="E242" s="43">
        <v>500</v>
      </c>
      <c r="F242" s="44">
        <f t="shared" ca="1" si="6"/>
        <v>500</v>
      </c>
    </row>
    <row r="243" spans="1:6" x14ac:dyDescent="0.3">
      <c r="A243" s="40" t="s">
        <v>137</v>
      </c>
      <c r="B243" s="41" t="str">
        <f ca="1">IFERROR(INDEX(UNSPSCDes,MATCH(INDIRECT(ADDRESS(ROW(),COLUMN()-1,4)),UNSPSCCode,0)),IF(INDIRECT(ADDRESS(ROW(),COLUMN()-1,4))="51241225","Preparaciones tópicas de alcanfor",""))</f>
        <v>Preparaciones tópicas de alcanfor</v>
      </c>
      <c r="C243" s="42" t="str">
        <f>IFERROR(VLOOKUP("CAJ",'[1]Informacion '!P:Q,2,FALSE),"")</f>
        <v>Caja</v>
      </c>
      <c r="D243" s="40">
        <v>2</v>
      </c>
      <c r="E243" s="43">
        <v>400</v>
      </c>
      <c r="F243" s="44">
        <f t="shared" ca="1" si="6"/>
        <v>800</v>
      </c>
    </row>
    <row r="244" spans="1:6" x14ac:dyDescent="0.3">
      <c r="A244" s="40" t="s">
        <v>138</v>
      </c>
      <c r="B244" s="41" t="str">
        <f ca="1">IFERROR(INDEX(UNSPSCDes,MATCH(INDIRECT(ADDRESS(ROW(),COLUMN()-1,4)),UNSPSCCode,0)),IF(INDIRECT(ADDRESS(ROW(),COLUMN()-1,4))="51142121","Diclofenaco",""))</f>
        <v>Diclofenaco</v>
      </c>
      <c r="C244" s="42" t="str">
        <f>IFERROR(VLOOKUP("CAJ",'[1]Informacion '!P:Q,2,FALSE),"")</f>
        <v>Caja</v>
      </c>
      <c r="D244" s="40">
        <v>1</v>
      </c>
      <c r="E244" s="43">
        <v>1000</v>
      </c>
      <c r="F244" s="44">
        <f t="shared" ca="1" si="6"/>
        <v>1000</v>
      </c>
    </row>
    <row r="245" spans="1:6" x14ac:dyDescent="0.3">
      <c r="A245" s="40" t="s">
        <v>139</v>
      </c>
      <c r="B245" s="41" t="str">
        <f ca="1">IFERROR(INDEX(UNSPSCDes,MATCH(INDIRECT(ADDRESS(ROW(),COLUMN()-1,4)),UNSPSCCode,0)),IF(INDIRECT(ADDRESS(ROW(),COLUMN()-1,4))="41104102","Lancetas",""))</f>
        <v>Lancetas</v>
      </c>
      <c r="C245" s="42" t="str">
        <f>IFERROR(VLOOKUP("CAJ",'[1]Informacion '!P:Q,2,FALSE),"")</f>
        <v>Caja</v>
      </c>
      <c r="D245" s="40">
        <v>1</v>
      </c>
      <c r="E245" s="43">
        <v>200</v>
      </c>
      <c r="F245" s="44">
        <f t="shared" ca="1" si="6"/>
        <v>200</v>
      </c>
    </row>
    <row r="246" spans="1:6" x14ac:dyDescent="0.3">
      <c r="A246" s="40" t="s">
        <v>140</v>
      </c>
      <c r="B246" s="41" t="str">
        <f ca="1">IFERROR(INDEX(UNSPSCDes,MATCH(INDIRECT(ADDRESS(ROW(),COLUMN()-1,4)),UNSPSCCode,0)),IF(INDIRECT(ADDRESS(ROW(),COLUMN()-1,4))="41116201","Monitores o medidores de glucosa",""))</f>
        <v>Monitores o medidores de glucosa</v>
      </c>
      <c r="C246" s="42" t="str">
        <f>IFERROR(VLOOKUP("CAJ",'[1]Informacion '!P:Q,2,FALSE),"")</f>
        <v>Caja</v>
      </c>
      <c r="D246" s="40">
        <v>1</v>
      </c>
      <c r="E246" s="43">
        <v>1000</v>
      </c>
      <c r="F246" s="44">
        <f t="shared" ca="1" si="6"/>
        <v>1000</v>
      </c>
    </row>
    <row r="247" spans="1:6" x14ac:dyDescent="0.3">
      <c r="A247" s="30"/>
      <c r="B247" s="30"/>
      <c r="C247" s="30"/>
      <c r="D247" s="30"/>
      <c r="E247" s="45" t="s">
        <v>52</v>
      </c>
      <c r="F247" s="46">
        <f ca="1">SUM(Table11[MONTO TOTAL ESTIMADO])</f>
        <v>77650</v>
      </c>
    </row>
    <row r="248" spans="1:6" ht="15" thickBot="1" x14ac:dyDescent="0.35">
      <c r="A248" s="30"/>
      <c r="B248" s="30"/>
      <c r="C248" s="30"/>
      <c r="D248" s="30"/>
      <c r="E248" s="30"/>
      <c r="F248" s="30"/>
    </row>
    <row r="249" spans="1:6" ht="21" thickBot="1" x14ac:dyDescent="0.35">
      <c r="A249" s="31" t="s">
        <v>19</v>
      </c>
      <c r="B249" s="31" t="s">
        <v>20</v>
      </c>
      <c r="C249" s="31" t="s">
        <v>21</v>
      </c>
      <c r="D249" s="31" t="s">
        <v>22</v>
      </c>
      <c r="E249" s="31" t="s">
        <v>23</v>
      </c>
      <c r="F249" s="31" t="s">
        <v>24</v>
      </c>
    </row>
    <row r="250" spans="1:6" ht="21" thickBot="1" x14ac:dyDescent="0.35">
      <c r="A250" s="12" t="s">
        <v>141</v>
      </c>
      <c r="B250" s="12" t="s">
        <v>142</v>
      </c>
      <c r="C250" s="12" t="s">
        <v>143</v>
      </c>
      <c r="D250" s="12" t="s">
        <v>28</v>
      </c>
      <c r="E250" s="12" t="s">
        <v>59</v>
      </c>
      <c r="F250" s="12" t="s">
        <v>18</v>
      </c>
    </row>
    <row r="251" spans="1:6" ht="15" thickBot="1" x14ac:dyDescent="0.35">
      <c r="A251" s="32" t="s">
        <v>30</v>
      </c>
      <c r="B251" s="33" t="s">
        <v>31</v>
      </c>
      <c r="C251" s="34">
        <v>45677</v>
      </c>
      <c r="D251" s="32" t="s">
        <v>32</v>
      </c>
      <c r="E251" s="35" t="s">
        <v>33</v>
      </c>
      <c r="F251" s="36" t="s">
        <v>34</v>
      </c>
    </row>
    <row r="252" spans="1:6" ht="15" thickBot="1" x14ac:dyDescent="0.35">
      <c r="A252" s="37"/>
      <c r="B252" s="33" t="s">
        <v>35</v>
      </c>
      <c r="C252" s="38">
        <f>IF(C251="","",IF(AND(MONTH(C251)&gt;=1,MONTH(C251)&lt;=3),1,IF(AND(MONTH(C251)&gt;=4,MONTH(C251)&lt;=6),2,IF(AND(MONTH(C251)&gt;=7,MONTH(C251)&lt;=9),3,4))))</f>
        <v>1</v>
      </c>
      <c r="D252" s="37"/>
      <c r="E252" s="35" t="s">
        <v>36</v>
      </c>
      <c r="F252" s="36" t="s">
        <v>37</v>
      </c>
    </row>
    <row r="253" spans="1:6" ht="15" thickBot="1" x14ac:dyDescent="0.35">
      <c r="A253" s="37"/>
      <c r="B253" s="33" t="s">
        <v>38</v>
      </c>
      <c r="C253" s="34">
        <v>45681</v>
      </c>
      <c r="D253" s="37"/>
      <c r="E253" s="35" t="s">
        <v>39</v>
      </c>
      <c r="F253" s="36" t="s">
        <v>37</v>
      </c>
    </row>
    <row r="254" spans="1:6" ht="15" thickBot="1" x14ac:dyDescent="0.35">
      <c r="A254" s="37"/>
      <c r="B254" s="33" t="s">
        <v>35</v>
      </c>
      <c r="C254" s="38">
        <f>IF(C253="","",IF(AND(MONTH(C253)&gt;=1,MONTH(C253)&lt;=3),1,IF(AND(MONTH(C253)&gt;=4,MONTH(C253)&lt;=6),2,IF(AND(MONTH(C253)&gt;=7,MONTH(C253)&lt;=9),3,4))))</f>
        <v>1</v>
      </c>
      <c r="D254" s="37"/>
      <c r="E254" s="35" t="s">
        <v>40</v>
      </c>
      <c r="F254" s="36"/>
    </row>
    <row r="255" spans="1:6" ht="15" thickBot="1" x14ac:dyDescent="0.35">
      <c r="A255" s="30"/>
      <c r="B255" s="30"/>
      <c r="C255" s="30"/>
      <c r="D255" s="30"/>
      <c r="E255" s="30"/>
      <c r="F255" s="30"/>
    </row>
    <row r="256" spans="1:6" ht="15" thickBot="1" x14ac:dyDescent="0.35">
      <c r="A256" s="39" t="s">
        <v>41</v>
      </c>
      <c r="B256" s="39" t="s">
        <v>42</v>
      </c>
      <c r="C256" s="39" t="s">
        <v>43</v>
      </c>
      <c r="D256" s="39" t="s">
        <v>44</v>
      </c>
      <c r="E256" s="39" t="s">
        <v>45</v>
      </c>
      <c r="F256" s="39" t="s">
        <v>46</v>
      </c>
    </row>
    <row r="257" spans="1:6" ht="20.399999999999999" x14ac:dyDescent="0.3">
      <c r="A257" s="40" t="s">
        <v>144</v>
      </c>
      <c r="B257" s="41" t="str">
        <f ca="1">IFERROR(INDEX(UNSPSCDes,MATCH(INDIRECT(ADDRESS(ROW(),COLUMN()-1,4)),UNSPSCCode,0)),IF(INDIRECT(ADDRESS(ROW(),COLUMN()-1,4))="81112501","Servicio de licencias de programas informáticos",""))</f>
        <v>Servicio de licencias de programas informáticos</v>
      </c>
      <c r="C257" s="42" t="str">
        <f>IFERROR(VLOOKUP("UD",'[1]Informacion '!P:Q,2,FALSE),"")</f>
        <v>Unidad</v>
      </c>
      <c r="D257" s="40">
        <v>35</v>
      </c>
      <c r="E257" s="43">
        <v>9000</v>
      </c>
      <c r="F257" s="44">
        <f ca="1">INDIRECT(ADDRESS(ROW(),COLUMN()-2,4))*INDIRECT(ADDRESS(ROW(),COLUMN()-1,4))</f>
        <v>315000</v>
      </c>
    </row>
    <row r="258" spans="1:6" x14ac:dyDescent="0.3">
      <c r="A258" s="30"/>
      <c r="B258" s="30"/>
      <c r="C258" s="30"/>
      <c r="D258" s="30"/>
      <c r="E258" s="45" t="s">
        <v>52</v>
      </c>
      <c r="F258" s="46">
        <f ca="1">SUM(Table12[MONTO TOTAL ESTIMADO])</f>
        <v>315000</v>
      </c>
    </row>
    <row r="259" spans="1:6" ht="15" thickBot="1" x14ac:dyDescent="0.35">
      <c r="A259" s="30"/>
      <c r="B259" s="30"/>
      <c r="C259" s="30"/>
      <c r="D259" s="30"/>
      <c r="E259" s="30"/>
      <c r="F259" s="30"/>
    </row>
    <row r="260" spans="1:6" ht="21" thickBot="1" x14ac:dyDescent="0.35">
      <c r="A260" s="31" t="s">
        <v>19</v>
      </c>
      <c r="B260" s="31" t="s">
        <v>20</v>
      </c>
      <c r="C260" s="31" t="s">
        <v>21</v>
      </c>
      <c r="D260" s="31" t="s">
        <v>22</v>
      </c>
      <c r="E260" s="31" t="s">
        <v>23</v>
      </c>
      <c r="F260" s="31" t="s">
        <v>24</v>
      </c>
    </row>
    <row r="261" spans="1:6" ht="21" thickBot="1" x14ac:dyDescent="0.35">
      <c r="A261" s="12" t="s">
        <v>145</v>
      </c>
      <c r="B261" s="12" t="s">
        <v>146</v>
      </c>
      <c r="C261" s="12" t="s">
        <v>27</v>
      </c>
      <c r="D261" s="12" t="s">
        <v>80</v>
      </c>
      <c r="E261" s="12" t="s">
        <v>59</v>
      </c>
      <c r="F261" s="12" t="s">
        <v>18</v>
      </c>
    </row>
    <row r="262" spans="1:6" ht="15" thickBot="1" x14ac:dyDescent="0.35">
      <c r="A262" s="32" t="s">
        <v>30</v>
      </c>
      <c r="B262" s="33" t="s">
        <v>31</v>
      </c>
      <c r="C262" s="34">
        <v>45677</v>
      </c>
      <c r="D262" s="32" t="s">
        <v>32</v>
      </c>
      <c r="E262" s="35" t="s">
        <v>33</v>
      </c>
      <c r="F262" s="36" t="s">
        <v>34</v>
      </c>
    </row>
    <row r="263" spans="1:6" ht="15" thickBot="1" x14ac:dyDescent="0.35">
      <c r="A263" s="37"/>
      <c r="B263" s="33" t="s">
        <v>35</v>
      </c>
      <c r="C263" s="38">
        <f>IF(C262="","",IF(AND(MONTH(C262)&gt;=1,MONTH(C262)&lt;=3),1,IF(AND(MONTH(C262)&gt;=4,MONTH(C262)&lt;=6),2,IF(AND(MONTH(C262)&gt;=7,MONTH(C262)&lt;=9),3,4))))</f>
        <v>1</v>
      </c>
      <c r="D263" s="37"/>
      <c r="E263" s="35" t="s">
        <v>36</v>
      </c>
      <c r="F263" s="36" t="s">
        <v>37</v>
      </c>
    </row>
    <row r="264" spans="1:6" ht="15" thickBot="1" x14ac:dyDescent="0.35">
      <c r="A264" s="37"/>
      <c r="B264" s="33" t="s">
        <v>38</v>
      </c>
      <c r="C264" s="34">
        <v>45679</v>
      </c>
      <c r="D264" s="37"/>
      <c r="E264" s="35" t="s">
        <v>39</v>
      </c>
      <c r="F264" s="36" t="s">
        <v>37</v>
      </c>
    </row>
    <row r="265" spans="1:6" ht="15" thickBot="1" x14ac:dyDescent="0.35">
      <c r="A265" s="37"/>
      <c r="B265" s="33" t="s">
        <v>35</v>
      </c>
      <c r="C265" s="38">
        <f>IF(C264="","",IF(AND(MONTH(C264)&gt;=1,MONTH(C264)&lt;=3),1,IF(AND(MONTH(C264)&gt;=4,MONTH(C264)&lt;=6),2,IF(AND(MONTH(C264)&gt;=7,MONTH(C264)&lt;=9),3,4))))</f>
        <v>1</v>
      </c>
      <c r="D265" s="37"/>
      <c r="E265" s="35" t="s">
        <v>40</v>
      </c>
      <c r="F265" s="36"/>
    </row>
    <row r="266" spans="1:6" ht="15" thickBot="1" x14ac:dyDescent="0.35">
      <c r="A266" s="30"/>
      <c r="B266" s="30"/>
      <c r="C266" s="30"/>
      <c r="D266" s="30"/>
      <c r="E266" s="30"/>
      <c r="F266" s="30"/>
    </row>
    <row r="267" spans="1:6" ht="15" thickBot="1" x14ac:dyDescent="0.35">
      <c r="A267" s="39" t="s">
        <v>41</v>
      </c>
      <c r="B267" s="39" t="s">
        <v>42</v>
      </c>
      <c r="C267" s="39" t="s">
        <v>43</v>
      </c>
      <c r="D267" s="39" t="s">
        <v>44</v>
      </c>
      <c r="E267" s="39" t="s">
        <v>45</v>
      </c>
      <c r="F267" s="39" t="s">
        <v>46</v>
      </c>
    </row>
    <row r="268" spans="1:6" x14ac:dyDescent="0.3">
      <c r="A268" s="40" t="s">
        <v>147</v>
      </c>
      <c r="B268" s="41" t="str">
        <f ca="1">IFERROR(INDEX(UNSPSCDes,MATCH(INDIRECT(ADDRESS(ROW(),COLUMN()-1,4)),UNSPSCCode,0)),IF(INDIRECT(ADDRESS(ROW(),COLUMN()-1,4))="44102904","Aerosol de aire comprimido",""))</f>
        <v>Aerosol de aire comprimido</v>
      </c>
      <c r="C268" s="42" t="str">
        <f>IFERROR(VLOOKUP("UD",'[1]Informacion '!P:Q,2,FALSE),"")</f>
        <v>Unidad</v>
      </c>
      <c r="D268" s="40">
        <v>3</v>
      </c>
      <c r="E268" s="43">
        <v>500</v>
      </c>
      <c r="F268" s="44">
        <f t="shared" ref="F268:F287" ca="1" si="7">INDIRECT(ADDRESS(ROW(),COLUMN()-2,4))*INDIRECT(ADDRESS(ROW(),COLUMN()-1,4))</f>
        <v>1500</v>
      </c>
    </row>
    <row r="269" spans="1:6" ht="20.399999999999999" x14ac:dyDescent="0.3">
      <c r="A269" s="40" t="s">
        <v>148</v>
      </c>
      <c r="B269" s="41" t="str">
        <f ca="1">IFERROR(INDEX(UNSPSCDes,MATCH(INDIRECT(ADDRESS(ROW(),COLUMN()-1,4)),UNSPSCCode,0)),IF(INDIRECT(ADDRESS(ROW(),COLUMN()-1,4))="43211902","Paneles o monitores de pantalla de cristal líquido lcd",""))</f>
        <v>Paneles o monitores de pantalla de cristal líquido lcd</v>
      </c>
      <c r="C269" s="42" t="str">
        <f>IFERROR(VLOOKUP("UD",'[1]Informacion '!P:Q,2,FALSE),"")</f>
        <v>Unidad</v>
      </c>
      <c r="D269" s="40">
        <v>1</v>
      </c>
      <c r="E269" s="43">
        <v>12000</v>
      </c>
      <c r="F269" s="44">
        <f t="shared" ca="1" si="7"/>
        <v>12000</v>
      </c>
    </row>
    <row r="270" spans="1:6" x14ac:dyDescent="0.3">
      <c r="A270" s="40" t="s">
        <v>149</v>
      </c>
      <c r="B270" s="41" t="str">
        <f ca="1">IFERROR(INDEX(UNSPSCDes,MATCH(INDIRECT(ADDRESS(ROW(),COLUMN()-1,4)),UNSPSCCode,0)),IF(INDIRECT(ADDRESS(ROW(),COLUMN()-1,4))="44103103","Tóner para impresoras o fax",""))</f>
        <v>Tóner para impresoras o fax</v>
      </c>
      <c r="C270" s="42" t="str">
        <f>IFERROR(VLOOKUP("UD",'[1]Informacion '!P:Q,2,FALSE),"")</f>
        <v>Unidad</v>
      </c>
      <c r="D270" s="40">
        <v>2</v>
      </c>
      <c r="E270" s="43">
        <v>5000</v>
      </c>
      <c r="F270" s="44">
        <f t="shared" ca="1" si="7"/>
        <v>10000</v>
      </c>
    </row>
    <row r="271" spans="1:6" x14ac:dyDescent="0.3">
      <c r="A271" s="40" t="s">
        <v>150</v>
      </c>
      <c r="B271" s="41" t="str">
        <f ca="1">IFERROR(INDEX(UNSPSCDes,MATCH(INDIRECT(ADDRESS(ROW(),COLUMN()-1,4)),UNSPSCCode,0)),IF(INDIRECT(ADDRESS(ROW(),COLUMN()-1,4))="43211706","Teclados",""))</f>
        <v>Teclados</v>
      </c>
      <c r="C271" s="42" t="str">
        <f>IFERROR(VLOOKUP("UD",'[1]Informacion '!P:Q,2,FALSE),"")</f>
        <v>Unidad</v>
      </c>
      <c r="D271" s="40">
        <v>2</v>
      </c>
      <c r="E271" s="43">
        <v>500</v>
      </c>
      <c r="F271" s="44">
        <f t="shared" ca="1" si="7"/>
        <v>1000</v>
      </c>
    </row>
    <row r="272" spans="1:6" x14ac:dyDescent="0.3">
      <c r="A272" s="40" t="s">
        <v>151</v>
      </c>
      <c r="B272" s="41" t="str">
        <f ca="1">IFERROR(INDEX(UNSPSCDes,MATCH(INDIRECT(ADDRESS(ROW(),COLUMN()-1,4)),UNSPSCCode,0)),IF(INDIRECT(ADDRESS(ROW(),COLUMN()-1,4))="32101622","Memoria flash",""))</f>
        <v>Memoria flash</v>
      </c>
      <c r="C272" s="42" t="str">
        <f>IFERROR(VLOOKUP("UD",'[1]Informacion '!P:Q,2,FALSE),"")</f>
        <v>Unidad</v>
      </c>
      <c r="D272" s="40">
        <v>3</v>
      </c>
      <c r="E272" s="43">
        <v>400</v>
      </c>
      <c r="F272" s="44">
        <f t="shared" ca="1" si="7"/>
        <v>1200</v>
      </c>
    </row>
    <row r="273" spans="1:6" ht="20.399999999999999" x14ac:dyDescent="0.3">
      <c r="A273" s="40" t="s">
        <v>152</v>
      </c>
      <c r="B273" s="41" t="str">
        <f ca="1">IFERROR(INDEX(UNSPSCDes,MATCH(INDIRECT(ADDRESS(ROW(),COLUMN()-1,4)),UNSPSCCode,0)),IF(INDIRECT(ADDRESS(ROW(),COLUMN()-1,4))="43211708","Mouse o bola de seguimiento para computador",""))</f>
        <v>Mouse o bola de seguimiento para computador</v>
      </c>
      <c r="C273" s="42" t="str">
        <f>IFERROR(VLOOKUP("UD",'[1]Informacion '!P:Q,2,FALSE),"")</f>
        <v>Unidad</v>
      </c>
      <c r="D273" s="40">
        <v>2</v>
      </c>
      <c r="E273" s="43">
        <v>350</v>
      </c>
      <c r="F273" s="44">
        <f t="shared" ca="1" si="7"/>
        <v>700</v>
      </c>
    </row>
    <row r="274" spans="1:6" x14ac:dyDescent="0.3">
      <c r="A274" s="40" t="s">
        <v>149</v>
      </c>
      <c r="B274" s="41" t="str">
        <f ca="1">IFERROR(INDEX(UNSPSCDes,MATCH(INDIRECT(ADDRESS(ROW(),COLUMN()-1,4)),UNSPSCCode,0)),IF(INDIRECT(ADDRESS(ROW(),COLUMN()-1,4))="44103103","Tóner para impresoras o fax",""))</f>
        <v>Tóner para impresoras o fax</v>
      </c>
      <c r="C274" s="42" t="str">
        <f>IFERROR(VLOOKUP("UD",'[1]Informacion '!P:Q,2,FALSE),"")</f>
        <v>Unidad</v>
      </c>
      <c r="D274" s="40">
        <v>2</v>
      </c>
      <c r="E274" s="43">
        <v>3500</v>
      </c>
      <c r="F274" s="44">
        <f t="shared" ca="1" si="7"/>
        <v>7000</v>
      </c>
    </row>
    <row r="275" spans="1:6" x14ac:dyDescent="0.3">
      <c r="A275" s="40" t="s">
        <v>149</v>
      </c>
      <c r="B275" s="41" t="str">
        <f ca="1">IFERROR(INDEX(UNSPSCDes,MATCH(INDIRECT(ADDRESS(ROW(),COLUMN()-1,4)),UNSPSCCode,0)),IF(INDIRECT(ADDRESS(ROW(),COLUMN()-1,4))="44103103","Tóner para impresoras o fax",""))</f>
        <v>Tóner para impresoras o fax</v>
      </c>
      <c r="C275" s="42" t="str">
        <f>IFERROR(VLOOKUP("UD",'[1]Informacion '!P:Q,2,FALSE),"")</f>
        <v>Unidad</v>
      </c>
      <c r="D275" s="40">
        <v>2</v>
      </c>
      <c r="E275" s="43">
        <v>5000</v>
      </c>
      <c r="F275" s="44">
        <f t="shared" ca="1" si="7"/>
        <v>10000</v>
      </c>
    </row>
    <row r="276" spans="1:6" x14ac:dyDescent="0.3">
      <c r="A276" s="40" t="s">
        <v>149</v>
      </c>
      <c r="B276" s="41" t="str">
        <f ca="1">IFERROR(INDEX(UNSPSCDes,MATCH(INDIRECT(ADDRESS(ROW(),COLUMN()-1,4)),UNSPSCCode,0)),IF(INDIRECT(ADDRESS(ROW(),COLUMN()-1,4))="44103103","Tóner para impresoras o fax",""))</f>
        <v>Tóner para impresoras o fax</v>
      </c>
      <c r="C276" s="42" t="str">
        <f>IFERROR(VLOOKUP("UD",'[1]Informacion '!P:Q,2,FALSE),"")</f>
        <v>Unidad</v>
      </c>
      <c r="D276" s="40">
        <v>2</v>
      </c>
      <c r="E276" s="43">
        <v>9000</v>
      </c>
      <c r="F276" s="44">
        <f t="shared" ca="1" si="7"/>
        <v>18000</v>
      </c>
    </row>
    <row r="277" spans="1:6" x14ac:dyDescent="0.3">
      <c r="A277" s="40" t="s">
        <v>149</v>
      </c>
      <c r="B277" s="41" t="str">
        <f ca="1">IFERROR(INDEX(UNSPSCDes,MATCH(INDIRECT(ADDRESS(ROW(),COLUMN()-1,4)),UNSPSCCode,0)),IF(INDIRECT(ADDRESS(ROW(),COLUMN()-1,4))="44103103","Tóner para impresoras o fax",""))</f>
        <v>Tóner para impresoras o fax</v>
      </c>
      <c r="C277" s="42" t="str">
        <f>IFERROR(VLOOKUP("UD",'[1]Informacion '!P:Q,2,FALSE),"")</f>
        <v>Unidad</v>
      </c>
      <c r="D277" s="40">
        <v>2</v>
      </c>
      <c r="E277" s="43">
        <v>11000</v>
      </c>
      <c r="F277" s="44">
        <f t="shared" ca="1" si="7"/>
        <v>22000</v>
      </c>
    </row>
    <row r="278" spans="1:6" x14ac:dyDescent="0.3">
      <c r="A278" s="40" t="s">
        <v>153</v>
      </c>
      <c r="B278" s="41" t="str">
        <f t="shared" ref="B278:B283" ca="1" si="8">IFERROR(INDEX(UNSPSCDes,MATCH(INDIRECT(ADDRESS(ROW(),COLUMN()-1,4)),UNSPSCCode,0)),IF(INDIRECT(ADDRESS(ROW(),COLUMN()-1,4))="44103105","Cartuchos de tinta",""))</f>
        <v>Cartuchos de tinta</v>
      </c>
      <c r="C278" s="42" t="str">
        <f>IFERROR(VLOOKUP("UD",'[1]Informacion '!P:Q,2,FALSE),"")</f>
        <v>Unidad</v>
      </c>
      <c r="D278" s="40">
        <v>2</v>
      </c>
      <c r="E278" s="43">
        <v>1700</v>
      </c>
      <c r="F278" s="44">
        <f t="shared" ca="1" si="7"/>
        <v>3400</v>
      </c>
    </row>
    <row r="279" spans="1:6" x14ac:dyDescent="0.3">
      <c r="A279" s="40" t="s">
        <v>153</v>
      </c>
      <c r="B279" s="41" t="str">
        <f t="shared" ca="1" si="8"/>
        <v>Cartuchos de tinta</v>
      </c>
      <c r="C279" s="42" t="str">
        <f>IFERROR(VLOOKUP("UD",'[1]Informacion '!P:Q,2,FALSE),"")</f>
        <v>Unidad</v>
      </c>
      <c r="D279" s="40">
        <v>2</v>
      </c>
      <c r="E279" s="43">
        <v>2500</v>
      </c>
      <c r="F279" s="44">
        <f t="shared" ca="1" si="7"/>
        <v>5000</v>
      </c>
    </row>
    <row r="280" spans="1:6" x14ac:dyDescent="0.3">
      <c r="A280" s="40" t="s">
        <v>153</v>
      </c>
      <c r="B280" s="41" t="str">
        <f t="shared" ca="1" si="8"/>
        <v>Cartuchos de tinta</v>
      </c>
      <c r="C280" s="42" t="str">
        <f>IFERROR(VLOOKUP("UD",'[1]Informacion '!P:Q,2,FALSE),"")</f>
        <v>Unidad</v>
      </c>
      <c r="D280" s="40">
        <v>2</v>
      </c>
      <c r="E280" s="43">
        <v>2000</v>
      </c>
      <c r="F280" s="44">
        <f t="shared" ca="1" si="7"/>
        <v>4000</v>
      </c>
    </row>
    <row r="281" spans="1:6" x14ac:dyDescent="0.3">
      <c r="A281" s="40" t="s">
        <v>153</v>
      </c>
      <c r="B281" s="41" t="str">
        <f t="shared" ca="1" si="8"/>
        <v>Cartuchos de tinta</v>
      </c>
      <c r="C281" s="42" t="str">
        <f>IFERROR(VLOOKUP("UD",'[1]Informacion '!P:Q,2,FALSE),"")</f>
        <v>Unidad</v>
      </c>
      <c r="D281" s="40">
        <v>2</v>
      </c>
      <c r="E281" s="43">
        <v>2000</v>
      </c>
      <c r="F281" s="44">
        <f t="shared" ca="1" si="7"/>
        <v>4000</v>
      </c>
    </row>
    <row r="282" spans="1:6" x14ac:dyDescent="0.3">
      <c r="A282" s="40" t="s">
        <v>153</v>
      </c>
      <c r="B282" s="41" t="str">
        <f t="shared" ca="1" si="8"/>
        <v>Cartuchos de tinta</v>
      </c>
      <c r="C282" s="42" t="str">
        <f>IFERROR(VLOOKUP("UD",'[1]Informacion '!P:Q,2,FALSE),"")</f>
        <v>Unidad</v>
      </c>
      <c r="D282" s="40">
        <v>2</v>
      </c>
      <c r="E282" s="43">
        <v>2000</v>
      </c>
      <c r="F282" s="44">
        <f t="shared" ca="1" si="7"/>
        <v>4000</v>
      </c>
    </row>
    <row r="283" spans="1:6" x14ac:dyDescent="0.3">
      <c r="A283" s="40" t="s">
        <v>153</v>
      </c>
      <c r="B283" s="41" t="str">
        <f t="shared" ca="1" si="8"/>
        <v>Cartuchos de tinta</v>
      </c>
      <c r="C283" s="42" t="str">
        <f>IFERROR(VLOOKUP("UD",'[1]Informacion '!P:Q,2,FALSE),"")</f>
        <v>Unidad</v>
      </c>
      <c r="D283" s="40">
        <v>2</v>
      </c>
      <c r="E283" s="43">
        <v>2000</v>
      </c>
      <c r="F283" s="44">
        <f t="shared" ca="1" si="7"/>
        <v>4000</v>
      </c>
    </row>
    <row r="284" spans="1:6" x14ac:dyDescent="0.3">
      <c r="A284" s="40" t="s">
        <v>154</v>
      </c>
      <c r="B284" s="41" t="str">
        <f ca="1">IFERROR(INDEX(UNSPSCDes,MATCH(INDIRECT(ADDRESS(ROW(),COLUMN()-1,4)),UNSPSCCode,0)),IF(INDIRECT(ADDRESS(ROW(),COLUMN()-1,4))="43212110","Impresoras de múltiples funciones",""))</f>
        <v>Impresoras de múltiples funciones</v>
      </c>
      <c r="C284" s="42" t="str">
        <f>IFERROR(VLOOKUP("UD",'[1]Informacion '!P:Q,2,FALSE),"")</f>
        <v>Unidad</v>
      </c>
      <c r="D284" s="40">
        <v>1</v>
      </c>
      <c r="E284" s="43">
        <v>20000</v>
      </c>
      <c r="F284" s="44">
        <f t="shared" ca="1" si="7"/>
        <v>20000</v>
      </c>
    </row>
    <row r="285" spans="1:6" x14ac:dyDescent="0.3">
      <c r="A285" s="40" t="s">
        <v>155</v>
      </c>
      <c r="B285" s="41" t="str">
        <f ca="1">IFERROR(INDEX(UNSPSCDes,MATCH(INDIRECT(ADDRESS(ROW(),COLUMN()-1,4)),UNSPSCCode,0)),IF(INDIRECT(ADDRESS(ROW(),COLUMN()-1,4))="43201803","Unidades de disco duro",""))</f>
        <v>Unidades de disco duro</v>
      </c>
      <c r="C285" s="42" t="str">
        <f>IFERROR(VLOOKUP("UD",'[1]Informacion '!P:Q,2,FALSE),"")</f>
        <v>Unidad</v>
      </c>
      <c r="D285" s="40">
        <v>1</v>
      </c>
      <c r="E285" s="43">
        <v>3000</v>
      </c>
      <c r="F285" s="44">
        <f t="shared" ca="1" si="7"/>
        <v>3000</v>
      </c>
    </row>
    <row r="286" spans="1:6" x14ac:dyDescent="0.3">
      <c r="A286" s="40" t="s">
        <v>156</v>
      </c>
      <c r="B286" s="41" t="str">
        <f ca="1">IFERROR(INDEX(UNSPSCDes,MATCH(INDIRECT(ADDRESS(ROW(),COLUMN()-1,4)),UNSPSCCode,0)),IF(INDIRECT(ADDRESS(ROW(),COLUMN()-1,4))="26101766","Reguladores",""))</f>
        <v>Reguladores</v>
      </c>
      <c r="C286" s="42" t="str">
        <f>IFERROR(VLOOKUP("UD",'[1]Informacion '!P:Q,2,FALSE),"")</f>
        <v>Unidad</v>
      </c>
      <c r="D286" s="40">
        <v>3</v>
      </c>
      <c r="E286" s="43">
        <v>1000</v>
      </c>
      <c r="F286" s="44">
        <f t="shared" ca="1" si="7"/>
        <v>3000</v>
      </c>
    </row>
    <row r="287" spans="1:6" x14ac:dyDescent="0.3">
      <c r="A287" s="40" t="s">
        <v>156</v>
      </c>
      <c r="B287" s="41" t="str">
        <f ca="1">IFERROR(INDEX(UNSPSCDes,MATCH(INDIRECT(ADDRESS(ROW(),COLUMN()-1,4)),UNSPSCCode,0)),IF(INDIRECT(ADDRESS(ROW(),COLUMN()-1,4))="26101766","Reguladores",""))</f>
        <v>Reguladores</v>
      </c>
      <c r="C287" s="42" t="str">
        <f>IFERROR(VLOOKUP("UD",'[1]Informacion '!P:Q,2,FALSE),"")</f>
        <v>Unidad</v>
      </c>
      <c r="D287" s="40">
        <v>2</v>
      </c>
      <c r="E287" s="43">
        <v>1600</v>
      </c>
      <c r="F287" s="44">
        <f t="shared" ca="1" si="7"/>
        <v>3200</v>
      </c>
    </row>
    <row r="288" spans="1:6" x14ac:dyDescent="0.3">
      <c r="A288" s="30"/>
      <c r="B288" s="30"/>
      <c r="C288" s="30"/>
      <c r="D288" s="30"/>
      <c r="E288" s="45" t="s">
        <v>52</v>
      </c>
      <c r="F288" s="46">
        <f ca="1">SUM(Table13[MONTO TOTAL ESTIMADO])</f>
        <v>137000</v>
      </c>
    </row>
    <row r="289" spans="1:6" ht="15" thickBot="1" x14ac:dyDescent="0.35">
      <c r="A289" s="30"/>
      <c r="B289" s="30"/>
      <c r="C289" s="30"/>
      <c r="D289" s="30"/>
      <c r="E289" s="30"/>
      <c r="F289" s="30"/>
    </row>
    <row r="290" spans="1:6" ht="21" thickBot="1" x14ac:dyDescent="0.35">
      <c r="A290" s="31" t="s">
        <v>19</v>
      </c>
      <c r="B290" s="31" t="s">
        <v>20</v>
      </c>
      <c r="C290" s="31" t="s">
        <v>21</v>
      </c>
      <c r="D290" s="31" t="s">
        <v>22</v>
      </c>
      <c r="E290" s="31" t="s">
        <v>23</v>
      </c>
      <c r="F290" s="31" t="s">
        <v>24</v>
      </c>
    </row>
    <row r="291" spans="1:6" ht="15" thickBot="1" x14ac:dyDescent="0.35">
      <c r="A291" s="12" t="s">
        <v>157</v>
      </c>
      <c r="B291" s="12" t="s">
        <v>157</v>
      </c>
      <c r="C291" s="12" t="s">
        <v>27</v>
      </c>
      <c r="D291" s="12" t="s">
        <v>28</v>
      </c>
      <c r="E291" s="12" t="s">
        <v>59</v>
      </c>
      <c r="F291" s="12" t="s">
        <v>18</v>
      </c>
    </row>
    <row r="292" spans="1:6" ht="15" thickBot="1" x14ac:dyDescent="0.35">
      <c r="A292" s="32" t="s">
        <v>30</v>
      </c>
      <c r="B292" s="33" t="s">
        <v>31</v>
      </c>
      <c r="C292" s="34">
        <v>45698</v>
      </c>
      <c r="D292" s="32" t="s">
        <v>32</v>
      </c>
      <c r="E292" s="35" t="s">
        <v>33</v>
      </c>
      <c r="F292" s="36" t="s">
        <v>34</v>
      </c>
    </row>
    <row r="293" spans="1:6" ht="15" thickBot="1" x14ac:dyDescent="0.35">
      <c r="A293" s="37"/>
      <c r="B293" s="33" t="s">
        <v>35</v>
      </c>
      <c r="C293" s="38">
        <f>IF(C292="","",IF(AND(MONTH(C292)&gt;=1,MONTH(C292)&lt;=3),1,IF(AND(MONTH(C292)&gt;=4,MONTH(C292)&lt;=6),2,IF(AND(MONTH(C292)&gt;=7,MONTH(C292)&lt;=9),3,4))))</f>
        <v>1</v>
      </c>
      <c r="D293" s="37"/>
      <c r="E293" s="35" t="s">
        <v>36</v>
      </c>
      <c r="F293" s="36" t="s">
        <v>37</v>
      </c>
    </row>
    <row r="294" spans="1:6" ht="15" thickBot="1" x14ac:dyDescent="0.35">
      <c r="A294" s="37"/>
      <c r="B294" s="33" t="s">
        <v>38</v>
      </c>
      <c r="C294" s="34">
        <v>45699</v>
      </c>
      <c r="D294" s="37"/>
      <c r="E294" s="35" t="s">
        <v>39</v>
      </c>
      <c r="F294" s="36" t="s">
        <v>37</v>
      </c>
    </row>
    <row r="295" spans="1:6" ht="15" thickBot="1" x14ac:dyDescent="0.35">
      <c r="A295" s="37"/>
      <c r="B295" s="33" t="s">
        <v>35</v>
      </c>
      <c r="C295" s="38">
        <f>IF(C294="","",IF(AND(MONTH(C294)&gt;=1,MONTH(C294)&lt;=3),1,IF(AND(MONTH(C294)&gt;=4,MONTH(C294)&lt;=6),2,IF(AND(MONTH(C294)&gt;=7,MONTH(C294)&lt;=9),3,4))))</f>
        <v>1</v>
      </c>
      <c r="D295" s="37"/>
      <c r="E295" s="35" t="s">
        <v>40</v>
      </c>
      <c r="F295" s="36"/>
    </row>
    <row r="296" spans="1:6" ht="15" thickBot="1" x14ac:dyDescent="0.35">
      <c r="A296" s="30"/>
      <c r="B296" s="30"/>
      <c r="C296" s="30"/>
      <c r="D296" s="30"/>
      <c r="E296" s="30"/>
      <c r="F296" s="30"/>
    </row>
    <row r="297" spans="1:6" ht="15" thickBot="1" x14ac:dyDescent="0.35">
      <c r="A297" s="39" t="s">
        <v>41</v>
      </c>
      <c r="B297" s="39" t="s">
        <v>42</v>
      </c>
      <c r="C297" s="39" t="s">
        <v>43</v>
      </c>
      <c r="D297" s="39" t="s">
        <v>44</v>
      </c>
      <c r="E297" s="39" t="s">
        <v>45</v>
      </c>
      <c r="F297" s="39" t="s">
        <v>46</v>
      </c>
    </row>
    <row r="298" spans="1:6" x14ac:dyDescent="0.3">
      <c r="A298" s="40" t="s">
        <v>158</v>
      </c>
      <c r="B298" s="41" t="str">
        <f ca="1">IFERROR(INDEX(UNSPSCDes,MATCH(INDIRECT(ADDRESS(ROW(),COLUMN()-1,4)),UNSPSCCode,0)),IF(INDIRECT(ADDRESS(ROW(),COLUMN()-1,4))="15111510","Gas licuado de petróleo",""))</f>
        <v>Gas licuado de petróleo</v>
      </c>
      <c r="C298" s="42" t="str">
        <f>IFERROR(VLOOKUP("GAL",'[1]Informacion '!P:Q,2,FALSE),"")</f>
        <v>Galón</v>
      </c>
      <c r="D298" s="40">
        <v>1200</v>
      </c>
      <c r="E298" s="43">
        <v>132.6</v>
      </c>
      <c r="F298" s="44">
        <f ca="1">INDIRECT(ADDRESS(ROW(),COLUMN()-2,4))*INDIRECT(ADDRESS(ROW(),COLUMN()-1,4))</f>
        <v>159120</v>
      </c>
    </row>
    <row r="299" spans="1:6" x14ac:dyDescent="0.3">
      <c r="A299" s="30"/>
      <c r="B299" s="30"/>
      <c r="C299" s="30"/>
      <c r="D299" s="30"/>
      <c r="E299" s="45" t="s">
        <v>52</v>
      </c>
      <c r="F299" s="46">
        <f ca="1">SUM(Table14[MONTO TOTAL ESTIMADO])</f>
        <v>159120</v>
      </c>
    </row>
    <row r="300" spans="1:6" ht="15" thickBot="1" x14ac:dyDescent="0.35">
      <c r="A300" s="30"/>
      <c r="B300" s="30"/>
      <c r="C300" s="30"/>
      <c r="D300" s="30"/>
      <c r="E300" s="30"/>
      <c r="F300" s="30"/>
    </row>
    <row r="301" spans="1:6" ht="21" thickBot="1" x14ac:dyDescent="0.35">
      <c r="A301" s="31" t="s">
        <v>19</v>
      </c>
      <c r="B301" s="31" t="s">
        <v>20</v>
      </c>
      <c r="C301" s="31" t="s">
        <v>21</v>
      </c>
      <c r="D301" s="31" t="s">
        <v>22</v>
      </c>
      <c r="E301" s="31" t="s">
        <v>23</v>
      </c>
      <c r="F301" s="31" t="s">
        <v>24</v>
      </c>
    </row>
    <row r="302" spans="1:6" ht="41.4" thickBot="1" x14ac:dyDescent="0.35">
      <c r="A302" s="12" t="s">
        <v>159</v>
      </c>
      <c r="B302" s="12" t="s">
        <v>159</v>
      </c>
      <c r="C302" s="12" t="s">
        <v>27</v>
      </c>
      <c r="D302" s="12" t="s">
        <v>80</v>
      </c>
      <c r="E302" s="12" t="s">
        <v>29</v>
      </c>
      <c r="F302" s="12" t="s">
        <v>18</v>
      </c>
    </row>
    <row r="303" spans="1:6" ht="15" thickBot="1" x14ac:dyDescent="0.35">
      <c r="A303" s="32" t="s">
        <v>30</v>
      </c>
      <c r="B303" s="33" t="s">
        <v>31</v>
      </c>
      <c r="C303" s="34">
        <v>45684</v>
      </c>
      <c r="D303" s="32" t="s">
        <v>32</v>
      </c>
      <c r="E303" s="35" t="s">
        <v>33</v>
      </c>
      <c r="F303" s="36" t="s">
        <v>34</v>
      </c>
    </row>
    <row r="304" spans="1:6" ht="15" thickBot="1" x14ac:dyDescent="0.35">
      <c r="A304" s="37"/>
      <c r="B304" s="33" t="s">
        <v>35</v>
      </c>
      <c r="C304" s="38">
        <f>IF(C303="","",IF(AND(MONTH(C303)&gt;=1,MONTH(C303)&lt;=3),1,IF(AND(MONTH(C303)&gt;=4,MONTH(C303)&lt;=6),2,IF(AND(MONTH(C303)&gt;=7,MONTH(C303)&lt;=9),3,4))))</f>
        <v>1</v>
      </c>
      <c r="D304" s="37"/>
      <c r="E304" s="35" t="s">
        <v>36</v>
      </c>
      <c r="F304" s="36" t="s">
        <v>37</v>
      </c>
    </row>
    <row r="305" spans="1:6" ht="15" thickBot="1" x14ac:dyDescent="0.35">
      <c r="A305" s="37"/>
      <c r="B305" s="33" t="s">
        <v>38</v>
      </c>
      <c r="C305" s="34">
        <v>45685</v>
      </c>
      <c r="D305" s="37"/>
      <c r="E305" s="35" t="s">
        <v>39</v>
      </c>
      <c r="F305" s="36" t="s">
        <v>37</v>
      </c>
    </row>
    <row r="306" spans="1:6" ht="15" thickBot="1" x14ac:dyDescent="0.35">
      <c r="A306" s="37"/>
      <c r="B306" s="33" t="s">
        <v>35</v>
      </c>
      <c r="C306" s="38">
        <f>IF(C305="","",IF(AND(MONTH(C305)&gt;=1,MONTH(C305)&lt;=3),1,IF(AND(MONTH(C305)&gt;=4,MONTH(C305)&lt;=6),2,IF(AND(MONTH(C305)&gt;=7,MONTH(C305)&lt;=9),3,4))))</f>
        <v>1</v>
      </c>
      <c r="D306" s="37"/>
      <c r="E306" s="35" t="s">
        <v>40</v>
      </c>
      <c r="F306" s="36"/>
    </row>
    <row r="307" spans="1:6" ht="15" thickBot="1" x14ac:dyDescent="0.35">
      <c r="A307" s="30"/>
      <c r="B307" s="30"/>
      <c r="C307" s="30"/>
      <c r="D307" s="30"/>
      <c r="E307" s="30"/>
      <c r="F307" s="30"/>
    </row>
    <row r="308" spans="1:6" ht="15" thickBot="1" x14ac:dyDescent="0.35">
      <c r="A308" s="39" t="s">
        <v>41</v>
      </c>
      <c r="B308" s="39" t="s">
        <v>42</v>
      </c>
      <c r="C308" s="39" t="s">
        <v>43</v>
      </c>
      <c r="D308" s="39" t="s">
        <v>44</v>
      </c>
      <c r="E308" s="39" t="s">
        <v>45</v>
      </c>
      <c r="F308" s="39" t="s">
        <v>46</v>
      </c>
    </row>
    <row r="309" spans="1:6" x14ac:dyDescent="0.3">
      <c r="A309" s="40" t="s">
        <v>160</v>
      </c>
      <c r="B309" s="41" t="str">
        <f ca="1">IFERROR(INDEX(UNSPSCDes,MATCH(INDIRECT(ADDRESS(ROW(),COLUMN()-1,4)),UNSPSCCode,0)),IF(INDIRECT(ADDRESS(ROW(),COLUMN()-1,4))="10161707","Arreglo de flores cortadas",""))</f>
        <v>Arreglo de flores cortadas</v>
      </c>
      <c r="C309" s="42" t="str">
        <f>IFERROR(VLOOKUP("UD",'[1]Informacion '!P:Q,2,FALSE),"")</f>
        <v>Unidad</v>
      </c>
      <c r="D309" s="40">
        <v>1</v>
      </c>
      <c r="E309" s="43">
        <v>150000</v>
      </c>
      <c r="F309" s="44">
        <f ca="1">INDIRECT(ADDRESS(ROW(),COLUMN()-2,4))*INDIRECT(ADDRESS(ROW(),COLUMN()-1,4))</f>
        <v>150000</v>
      </c>
    </row>
    <row r="310" spans="1:6" x14ac:dyDescent="0.3">
      <c r="A310" s="30"/>
      <c r="B310" s="30"/>
      <c r="C310" s="30"/>
      <c r="D310" s="30"/>
      <c r="E310" s="45" t="s">
        <v>52</v>
      </c>
      <c r="F310" s="46">
        <f ca="1">SUM(Table15[MONTO TOTAL ESTIMADO])</f>
        <v>150000</v>
      </c>
    </row>
    <row r="311" spans="1:6" ht="15" thickBot="1" x14ac:dyDescent="0.35">
      <c r="A311" s="30"/>
      <c r="B311" s="30"/>
      <c r="C311" s="30"/>
      <c r="D311" s="30"/>
      <c r="E311" s="30"/>
      <c r="F311" s="30"/>
    </row>
    <row r="312" spans="1:6" ht="21" thickBot="1" x14ac:dyDescent="0.35">
      <c r="A312" s="31" t="s">
        <v>19</v>
      </c>
      <c r="B312" s="31" t="s">
        <v>20</v>
      </c>
      <c r="C312" s="31" t="s">
        <v>21</v>
      </c>
      <c r="D312" s="31" t="s">
        <v>22</v>
      </c>
      <c r="E312" s="31" t="s">
        <v>23</v>
      </c>
      <c r="F312" s="31" t="s">
        <v>24</v>
      </c>
    </row>
    <row r="313" spans="1:6" ht="21" thickBot="1" x14ac:dyDescent="0.35">
      <c r="A313" s="12" t="s">
        <v>161</v>
      </c>
      <c r="B313" s="12" t="s">
        <v>161</v>
      </c>
      <c r="C313" s="12" t="s">
        <v>143</v>
      </c>
      <c r="D313" s="12" t="s">
        <v>80</v>
      </c>
      <c r="E313" s="12" t="s">
        <v>59</v>
      </c>
      <c r="F313" s="12" t="s">
        <v>18</v>
      </c>
    </row>
    <row r="314" spans="1:6" ht="15" thickBot="1" x14ac:dyDescent="0.35">
      <c r="A314" s="32" t="s">
        <v>30</v>
      </c>
      <c r="B314" s="33" t="s">
        <v>31</v>
      </c>
      <c r="C314" s="34">
        <v>45679</v>
      </c>
      <c r="D314" s="32" t="s">
        <v>32</v>
      </c>
      <c r="E314" s="35" t="s">
        <v>33</v>
      </c>
      <c r="F314" s="36" t="s">
        <v>34</v>
      </c>
    </row>
    <row r="315" spans="1:6" ht="15" thickBot="1" x14ac:dyDescent="0.35">
      <c r="A315" s="37"/>
      <c r="B315" s="33" t="s">
        <v>35</v>
      </c>
      <c r="C315" s="38">
        <f>IF(C314="","",IF(AND(MONTH(C314)&gt;=1,MONTH(C314)&lt;=3),1,IF(AND(MONTH(C314)&gt;=4,MONTH(C314)&lt;=6),2,IF(AND(MONTH(C314)&gt;=7,MONTH(C314)&lt;=9),3,4))))</f>
        <v>1</v>
      </c>
      <c r="D315" s="37"/>
      <c r="E315" s="35" t="s">
        <v>36</v>
      </c>
      <c r="F315" s="36" t="s">
        <v>37</v>
      </c>
    </row>
    <row r="316" spans="1:6" ht="15" thickBot="1" x14ac:dyDescent="0.35">
      <c r="A316" s="37"/>
      <c r="B316" s="33" t="s">
        <v>38</v>
      </c>
      <c r="C316" s="34">
        <v>45680</v>
      </c>
      <c r="D316" s="37"/>
      <c r="E316" s="35" t="s">
        <v>39</v>
      </c>
      <c r="F316" s="36" t="s">
        <v>37</v>
      </c>
    </row>
    <row r="317" spans="1:6" ht="15" thickBot="1" x14ac:dyDescent="0.35">
      <c r="A317" s="37"/>
      <c r="B317" s="33" t="s">
        <v>35</v>
      </c>
      <c r="C317" s="38">
        <f>IF(C316="","",IF(AND(MONTH(C316)&gt;=1,MONTH(C316)&lt;=3),1,IF(AND(MONTH(C316)&gt;=4,MONTH(C316)&lt;=6),2,IF(AND(MONTH(C316)&gt;=7,MONTH(C316)&lt;=9),3,4))))</f>
        <v>1</v>
      </c>
      <c r="D317" s="37"/>
      <c r="E317" s="35" t="s">
        <v>40</v>
      </c>
      <c r="F317" s="36"/>
    </row>
    <row r="318" spans="1:6" ht="15" thickBot="1" x14ac:dyDescent="0.35">
      <c r="A318" s="30"/>
      <c r="B318" s="30"/>
      <c r="C318" s="30"/>
      <c r="D318" s="30"/>
      <c r="E318" s="30"/>
      <c r="F318" s="30"/>
    </row>
    <row r="319" spans="1:6" ht="15" thickBot="1" x14ac:dyDescent="0.35">
      <c r="A319" s="39" t="s">
        <v>41</v>
      </c>
      <c r="B319" s="39" t="s">
        <v>42</v>
      </c>
      <c r="C319" s="39" t="s">
        <v>43</v>
      </c>
      <c r="D319" s="39" t="s">
        <v>44</v>
      </c>
      <c r="E319" s="39" t="s">
        <v>45</v>
      </c>
      <c r="F319" s="39" t="s">
        <v>46</v>
      </c>
    </row>
    <row r="320" spans="1:6" x14ac:dyDescent="0.3">
      <c r="A320" s="40" t="s">
        <v>162</v>
      </c>
      <c r="B320" s="41" t="str">
        <f ca="1">IFERROR(INDEX(UNSPSCDes,MATCH(INDIRECT(ADDRESS(ROW(),COLUMN()-1,4)),UNSPSCCode,0)),IF(INDIRECT(ADDRESS(ROW(),COLUMN()-1,4))="80121704","Servicios legales sobre contratos",""))</f>
        <v>Servicios legales sobre contratos</v>
      </c>
      <c r="C320" s="42" t="str">
        <f>IFERROR(VLOOKUP("UD",'[1]Informacion '!P:Q,2,FALSE),"")</f>
        <v>Unidad</v>
      </c>
      <c r="D320" s="40">
        <v>100</v>
      </c>
      <c r="E320" s="43">
        <v>1800</v>
      </c>
      <c r="F320" s="44">
        <f ca="1">INDIRECT(ADDRESS(ROW(),COLUMN()-2,4))*INDIRECT(ADDRESS(ROW(),COLUMN()-1,4))</f>
        <v>180000</v>
      </c>
    </row>
    <row r="321" spans="1:6" x14ac:dyDescent="0.3">
      <c r="A321" s="30"/>
      <c r="B321" s="30"/>
      <c r="C321" s="30"/>
      <c r="D321" s="30"/>
      <c r="E321" s="45" t="s">
        <v>52</v>
      </c>
      <c r="F321" s="46">
        <f ca="1">SUM(Table16[MONTO TOTAL ESTIMADO])</f>
        <v>180000</v>
      </c>
    </row>
    <row r="322" spans="1:6" ht="15" thickBot="1" x14ac:dyDescent="0.35">
      <c r="A322" s="30"/>
      <c r="B322" s="30"/>
      <c r="C322" s="30"/>
      <c r="D322" s="30"/>
      <c r="E322" s="30"/>
      <c r="F322" s="30"/>
    </row>
    <row r="323" spans="1:6" ht="21" thickBot="1" x14ac:dyDescent="0.35">
      <c r="A323" s="31" t="s">
        <v>19</v>
      </c>
      <c r="B323" s="31" t="s">
        <v>20</v>
      </c>
      <c r="C323" s="31" t="s">
        <v>21</v>
      </c>
      <c r="D323" s="31" t="s">
        <v>22</v>
      </c>
      <c r="E323" s="31" t="s">
        <v>23</v>
      </c>
      <c r="F323" s="31" t="s">
        <v>24</v>
      </c>
    </row>
    <row r="324" spans="1:6" ht="31.2" thickBot="1" x14ac:dyDescent="0.35">
      <c r="A324" s="12" t="s">
        <v>163</v>
      </c>
      <c r="B324" s="12" t="s">
        <v>164</v>
      </c>
      <c r="C324" s="12" t="s">
        <v>143</v>
      </c>
      <c r="D324" s="12" t="s">
        <v>28</v>
      </c>
      <c r="E324" s="12" t="s">
        <v>59</v>
      </c>
      <c r="F324" s="12" t="s">
        <v>18</v>
      </c>
    </row>
    <row r="325" spans="1:6" ht="15" thickBot="1" x14ac:dyDescent="0.35">
      <c r="A325" s="32" t="s">
        <v>30</v>
      </c>
      <c r="B325" s="33" t="s">
        <v>31</v>
      </c>
      <c r="C325" s="34">
        <v>45684</v>
      </c>
      <c r="D325" s="32" t="s">
        <v>32</v>
      </c>
      <c r="E325" s="35" t="s">
        <v>33</v>
      </c>
      <c r="F325" s="36" t="s">
        <v>34</v>
      </c>
    </row>
    <row r="326" spans="1:6" ht="15" thickBot="1" x14ac:dyDescent="0.35">
      <c r="A326" s="37"/>
      <c r="B326" s="33" t="s">
        <v>35</v>
      </c>
      <c r="C326" s="38">
        <f>IF(C325="","",IF(AND(MONTH(C325)&gt;=1,MONTH(C325)&lt;=3),1,IF(AND(MONTH(C325)&gt;=4,MONTH(C325)&lt;=6),2,IF(AND(MONTH(C325)&gt;=7,MONTH(C325)&lt;=9),3,4))))</f>
        <v>1</v>
      </c>
      <c r="D326" s="37"/>
      <c r="E326" s="35" t="s">
        <v>36</v>
      </c>
      <c r="F326" s="36" t="s">
        <v>37</v>
      </c>
    </row>
    <row r="327" spans="1:6" ht="15" thickBot="1" x14ac:dyDescent="0.35">
      <c r="A327" s="37"/>
      <c r="B327" s="33" t="s">
        <v>38</v>
      </c>
      <c r="C327" s="34">
        <v>45687</v>
      </c>
      <c r="D327" s="37"/>
      <c r="E327" s="35" t="s">
        <v>39</v>
      </c>
      <c r="F327" s="36" t="s">
        <v>37</v>
      </c>
    </row>
    <row r="328" spans="1:6" ht="15" thickBot="1" x14ac:dyDescent="0.35">
      <c r="A328" s="37"/>
      <c r="B328" s="33" t="s">
        <v>35</v>
      </c>
      <c r="C328" s="38">
        <f>IF(C327="","",IF(AND(MONTH(C327)&gt;=1,MONTH(C327)&lt;=3),1,IF(AND(MONTH(C327)&gt;=4,MONTH(C327)&lt;=6),2,IF(AND(MONTH(C327)&gt;=7,MONTH(C327)&lt;=9),3,4))))</f>
        <v>1</v>
      </c>
      <c r="D328" s="37"/>
      <c r="E328" s="35" t="s">
        <v>40</v>
      </c>
      <c r="F328" s="36"/>
    </row>
    <row r="329" spans="1:6" ht="15" thickBot="1" x14ac:dyDescent="0.35">
      <c r="A329" s="30"/>
      <c r="B329" s="30"/>
      <c r="C329" s="30"/>
      <c r="D329" s="30"/>
      <c r="E329" s="30"/>
      <c r="F329" s="30"/>
    </row>
    <row r="330" spans="1:6" ht="15" thickBot="1" x14ac:dyDescent="0.35">
      <c r="A330" s="39" t="s">
        <v>41</v>
      </c>
      <c r="B330" s="39" t="s">
        <v>42</v>
      </c>
      <c r="C330" s="39" t="s">
        <v>43</v>
      </c>
      <c r="D330" s="39" t="s">
        <v>44</v>
      </c>
      <c r="E330" s="39" t="s">
        <v>45</v>
      </c>
      <c r="F330" s="39" t="s">
        <v>46</v>
      </c>
    </row>
    <row r="331" spans="1:6" x14ac:dyDescent="0.3">
      <c r="A331" s="40" t="s">
        <v>165</v>
      </c>
      <c r="B331" s="41" t="str">
        <f ca="1">IFERROR(INDEX(UNSPSCDes,MATCH(INDIRECT(ADDRESS(ROW(),COLUMN()-1,4)),UNSPSCCode,0)),IF(INDIRECT(ADDRESS(ROW(),COLUMN()-1,4))="70122001","Nutrición animal",""))</f>
        <v>Nutrición animal</v>
      </c>
      <c r="C331" s="42" t="str">
        <f>IFERROR(VLOOKUP("MES",'[1]Informacion '!P:Q,2,FALSE),"")</f>
        <v>Mes</v>
      </c>
      <c r="D331" s="40">
        <v>12</v>
      </c>
      <c r="E331" s="43">
        <v>65000</v>
      </c>
      <c r="F331" s="44">
        <f ca="1">INDIRECT(ADDRESS(ROW(),COLUMN()-2,4))*INDIRECT(ADDRESS(ROW(),COLUMN()-1,4))</f>
        <v>780000</v>
      </c>
    </row>
    <row r="332" spans="1:6" x14ac:dyDescent="0.3">
      <c r="A332" s="30"/>
      <c r="B332" s="30"/>
      <c r="C332" s="30"/>
      <c r="D332" s="30"/>
      <c r="E332" s="45" t="s">
        <v>52</v>
      </c>
      <c r="F332" s="46">
        <f ca="1">SUM(Table17[MONTO TOTAL ESTIMADO])</f>
        <v>780000</v>
      </c>
    </row>
    <row r="333" spans="1:6" ht="15" thickBot="1" x14ac:dyDescent="0.35">
      <c r="A333" s="30"/>
      <c r="B333" s="30"/>
      <c r="C333" s="30"/>
      <c r="D333" s="30"/>
      <c r="E333" s="30"/>
      <c r="F333" s="30"/>
    </row>
    <row r="334" spans="1:6" ht="21" thickBot="1" x14ac:dyDescent="0.35">
      <c r="A334" s="31" t="s">
        <v>19</v>
      </c>
      <c r="B334" s="31" t="s">
        <v>20</v>
      </c>
      <c r="C334" s="31" t="s">
        <v>21</v>
      </c>
      <c r="D334" s="31" t="s">
        <v>22</v>
      </c>
      <c r="E334" s="31" t="s">
        <v>23</v>
      </c>
      <c r="F334" s="31" t="s">
        <v>24</v>
      </c>
    </row>
    <row r="335" spans="1:6" ht="31.2" thickBot="1" x14ac:dyDescent="0.35">
      <c r="A335" s="12" t="s">
        <v>166</v>
      </c>
      <c r="B335" s="12" t="s">
        <v>167</v>
      </c>
      <c r="C335" s="12" t="s">
        <v>143</v>
      </c>
      <c r="D335" s="12" t="s">
        <v>80</v>
      </c>
      <c r="E335" s="12" t="s">
        <v>59</v>
      </c>
      <c r="F335" s="12" t="s">
        <v>18</v>
      </c>
    </row>
    <row r="336" spans="1:6" ht="15" thickBot="1" x14ac:dyDescent="0.35">
      <c r="A336" s="32" t="s">
        <v>30</v>
      </c>
      <c r="B336" s="33" t="s">
        <v>31</v>
      </c>
      <c r="C336" s="34">
        <v>45684</v>
      </c>
      <c r="D336" s="32" t="s">
        <v>32</v>
      </c>
      <c r="E336" s="35" t="s">
        <v>33</v>
      </c>
      <c r="F336" s="36" t="s">
        <v>34</v>
      </c>
    </row>
    <row r="337" spans="1:6" ht="15" thickBot="1" x14ac:dyDescent="0.35">
      <c r="A337" s="37"/>
      <c r="B337" s="33" t="s">
        <v>35</v>
      </c>
      <c r="C337" s="38">
        <f>IF(C336="","",IF(AND(MONTH(C336)&gt;=1,MONTH(C336)&lt;=3),1,IF(AND(MONTH(C336)&gt;=4,MONTH(C336)&lt;=6),2,IF(AND(MONTH(C336)&gt;=7,MONTH(C336)&lt;=9),3,4))))</f>
        <v>1</v>
      </c>
      <c r="D337" s="37"/>
      <c r="E337" s="35" t="s">
        <v>36</v>
      </c>
      <c r="F337" s="36" t="s">
        <v>37</v>
      </c>
    </row>
    <row r="338" spans="1:6" ht="15" thickBot="1" x14ac:dyDescent="0.35">
      <c r="A338" s="37"/>
      <c r="B338" s="33" t="s">
        <v>38</v>
      </c>
      <c r="C338" s="34">
        <v>45685</v>
      </c>
      <c r="D338" s="37"/>
      <c r="E338" s="35" t="s">
        <v>39</v>
      </c>
      <c r="F338" s="36" t="s">
        <v>37</v>
      </c>
    </row>
    <row r="339" spans="1:6" ht="15" thickBot="1" x14ac:dyDescent="0.35">
      <c r="A339" s="37"/>
      <c r="B339" s="33" t="s">
        <v>35</v>
      </c>
      <c r="C339" s="38">
        <f>IF(C338="","",IF(AND(MONTH(C338)&gt;=1,MONTH(C338)&lt;=3),1,IF(AND(MONTH(C338)&gt;=4,MONTH(C338)&lt;=6),2,IF(AND(MONTH(C338)&gt;=7,MONTH(C338)&lt;=9),3,4))))</f>
        <v>1</v>
      </c>
      <c r="D339" s="37"/>
      <c r="E339" s="35" t="s">
        <v>40</v>
      </c>
      <c r="F339" s="36"/>
    </row>
    <row r="340" spans="1:6" ht="15" thickBot="1" x14ac:dyDescent="0.35">
      <c r="A340" s="30"/>
      <c r="B340" s="30"/>
      <c r="C340" s="30"/>
      <c r="D340" s="30"/>
      <c r="E340" s="30"/>
      <c r="F340" s="30"/>
    </row>
    <row r="341" spans="1:6" ht="15" thickBot="1" x14ac:dyDescent="0.35">
      <c r="A341" s="39" t="s">
        <v>41</v>
      </c>
      <c r="B341" s="39" t="s">
        <v>42</v>
      </c>
      <c r="C341" s="39" t="s">
        <v>43</v>
      </c>
      <c r="D341" s="39" t="s">
        <v>44</v>
      </c>
      <c r="E341" s="39" t="s">
        <v>45</v>
      </c>
      <c r="F341" s="39" t="s">
        <v>46</v>
      </c>
    </row>
    <row r="342" spans="1:6" ht="20.399999999999999" x14ac:dyDescent="0.3">
      <c r="A342" s="40" t="s">
        <v>168</v>
      </c>
      <c r="B342" s="41" t="str">
        <f t="shared" ref="B342:B368" ca="1" si="9">IFERROR(INDEX(UNSPSCDes,MATCH(INDIRECT(ADDRESS(ROW(),COLUMN()-1,4)),UNSPSCCode,0)),IF(INDIRECT(ADDRESS(ROW(),COLUMN()-1,4))="85121802","Servicios de laboratorios bacteriológicos",""))</f>
        <v>Servicios de laboratorios bacteriológicos</v>
      </c>
      <c r="C342" s="42" t="str">
        <f>IFERROR(VLOOKUP("UD",'[1]Informacion '!P:Q,2,FALSE),"")</f>
        <v>Unidad</v>
      </c>
      <c r="D342" s="40">
        <v>200</v>
      </c>
      <c r="E342" s="43">
        <v>245</v>
      </c>
      <c r="F342" s="44">
        <f t="shared" ref="F342:F368" ca="1" si="10">INDIRECT(ADDRESS(ROW(),COLUMN()-2,4))*INDIRECT(ADDRESS(ROW(),COLUMN()-1,4))</f>
        <v>49000</v>
      </c>
    </row>
    <row r="343" spans="1:6" ht="20.399999999999999" x14ac:dyDescent="0.3">
      <c r="A343" s="40" t="s">
        <v>168</v>
      </c>
      <c r="B343" s="41" t="str">
        <f t="shared" ca="1" si="9"/>
        <v>Servicios de laboratorios bacteriológicos</v>
      </c>
      <c r="C343" s="42" t="str">
        <f>IFERROR(VLOOKUP("UD",'[1]Informacion '!P:Q,2,FALSE),"")</f>
        <v>Unidad</v>
      </c>
      <c r="D343" s="40">
        <v>20</v>
      </c>
      <c r="E343" s="43">
        <v>323</v>
      </c>
      <c r="F343" s="44">
        <f t="shared" ca="1" si="10"/>
        <v>6460</v>
      </c>
    </row>
    <row r="344" spans="1:6" ht="20.399999999999999" x14ac:dyDescent="0.3">
      <c r="A344" s="40" t="s">
        <v>168</v>
      </c>
      <c r="B344" s="41" t="str">
        <f t="shared" ca="1" si="9"/>
        <v>Servicios de laboratorios bacteriológicos</v>
      </c>
      <c r="C344" s="42" t="str">
        <f>IFERROR(VLOOKUP("UD",'[1]Informacion '!P:Q,2,FALSE),"")</f>
        <v>Unidad</v>
      </c>
      <c r="D344" s="40">
        <v>10</v>
      </c>
      <c r="E344" s="43">
        <v>395</v>
      </c>
      <c r="F344" s="44">
        <f t="shared" ca="1" si="10"/>
        <v>3950</v>
      </c>
    </row>
    <row r="345" spans="1:6" ht="20.399999999999999" x14ac:dyDescent="0.3">
      <c r="A345" s="40" t="s">
        <v>168</v>
      </c>
      <c r="B345" s="41" t="str">
        <f t="shared" ca="1" si="9"/>
        <v>Servicios de laboratorios bacteriológicos</v>
      </c>
      <c r="C345" s="42" t="str">
        <f>IFERROR(VLOOKUP("UD",'[1]Informacion '!P:Q,2,FALSE),"")</f>
        <v>Unidad</v>
      </c>
      <c r="D345" s="40">
        <v>20</v>
      </c>
      <c r="E345" s="43">
        <v>250</v>
      </c>
      <c r="F345" s="44">
        <f t="shared" ca="1" si="10"/>
        <v>5000</v>
      </c>
    </row>
    <row r="346" spans="1:6" ht="20.399999999999999" x14ac:dyDescent="0.3">
      <c r="A346" s="40" t="s">
        <v>168</v>
      </c>
      <c r="B346" s="41" t="str">
        <f t="shared" ca="1" si="9"/>
        <v>Servicios de laboratorios bacteriológicos</v>
      </c>
      <c r="C346" s="42" t="str">
        <f>IFERROR(VLOOKUP("UD",'[1]Informacion '!P:Q,2,FALSE),"")</f>
        <v>Unidad</v>
      </c>
      <c r="D346" s="40">
        <v>10</v>
      </c>
      <c r="E346" s="43">
        <v>323</v>
      </c>
      <c r="F346" s="44">
        <f t="shared" ca="1" si="10"/>
        <v>3230</v>
      </c>
    </row>
    <row r="347" spans="1:6" ht="20.399999999999999" x14ac:dyDescent="0.3">
      <c r="A347" s="40" t="s">
        <v>168</v>
      </c>
      <c r="B347" s="41" t="str">
        <f t="shared" ca="1" si="9"/>
        <v>Servicios de laboratorios bacteriológicos</v>
      </c>
      <c r="C347" s="42" t="str">
        <f>IFERROR(VLOOKUP("UD",'[1]Informacion '!P:Q,2,FALSE),"")</f>
        <v>Unidad</v>
      </c>
      <c r="D347" s="40">
        <v>10</v>
      </c>
      <c r="E347" s="43">
        <v>650</v>
      </c>
      <c r="F347" s="44">
        <f t="shared" ca="1" si="10"/>
        <v>6500</v>
      </c>
    </row>
    <row r="348" spans="1:6" ht="20.399999999999999" x14ac:dyDescent="0.3">
      <c r="A348" s="40" t="s">
        <v>168</v>
      </c>
      <c r="B348" s="41" t="str">
        <f t="shared" ca="1" si="9"/>
        <v>Servicios de laboratorios bacteriológicos</v>
      </c>
      <c r="C348" s="42" t="str">
        <f>IFERROR(VLOOKUP("UD",'[1]Informacion '!P:Q,2,FALSE),"")</f>
        <v>Unidad</v>
      </c>
      <c r="D348" s="40">
        <v>10</v>
      </c>
      <c r="E348" s="43">
        <v>605</v>
      </c>
      <c r="F348" s="44">
        <f t="shared" ca="1" si="10"/>
        <v>6050</v>
      </c>
    </row>
    <row r="349" spans="1:6" ht="20.399999999999999" x14ac:dyDescent="0.3">
      <c r="A349" s="40" t="s">
        <v>168</v>
      </c>
      <c r="B349" s="41" t="str">
        <f t="shared" ca="1" si="9"/>
        <v>Servicios de laboratorios bacteriológicos</v>
      </c>
      <c r="C349" s="42" t="str">
        <f>IFERROR(VLOOKUP("UD",'[1]Informacion '!P:Q,2,FALSE),"")</f>
        <v>Unidad</v>
      </c>
      <c r="D349" s="40">
        <v>50</v>
      </c>
      <c r="E349" s="43">
        <v>199</v>
      </c>
      <c r="F349" s="44">
        <f t="shared" ca="1" si="10"/>
        <v>9950</v>
      </c>
    </row>
    <row r="350" spans="1:6" ht="20.399999999999999" x14ac:dyDescent="0.3">
      <c r="A350" s="40" t="s">
        <v>168</v>
      </c>
      <c r="B350" s="41" t="str">
        <f t="shared" ca="1" si="9"/>
        <v>Servicios de laboratorios bacteriológicos</v>
      </c>
      <c r="C350" s="42" t="str">
        <f>IFERROR(VLOOKUP("UD",'[1]Informacion '!P:Q,2,FALSE),"")</f>
        <v>Unidad</v>
      </c>
      <c r="D350" s="40">
        <v>30</v>
      </c>
      <c r="E350" s="43">
        <v>199</v>
      </c>
      <c r="F350" s="44">
        <f t="shared" ca="1" si="10"/>
        <v>5970</v>
      </c>
    </row>
    <row r="351" spans="1:6" ht="20.399999999999999" x14ac:dyDescent="0.3">
      <c r="A351" s="40" t="s">
        <v>168</v>
      </c>
      <c r="B351" s="41" t="str">
        <f t="shared" ca="1" si="9"/>
        <v>Servicios de laboratorios bacteriológicos</v>
      </c>
      <c r="C351" s="42" t="str">
        <f>IFERROR(VLOOKUP("UD",'[1]Informacion '!P:Q,2,FALSE),"")</f>
        <v>Unidad</v>
      </c>
      <c r="D351" s="40">
        <v>30</v>
      </c>
      <c r="E351" s="43">
        <v>280</v>
      </c>
      <c r="F351" s="44">
        <f t="shared" ca="1" si="10"/>
        <v>8400</v>
      </c>
    </row>
    <row r="352" spans="1:6" ht="20.399999999999999" x14ac:dyDescent="0.3">
      <c r="A352" s="40" t="s">
        <v>168</v>
      </c>
      <c r="B352" s="41" t="str">
        <f t="shared" ca="1" si="9"/>
        <v>Servicios de laboratorios bacteriológicos</v>
      </c>
      <c r="C352" s="42" t="str">
        <f>IFERROR(VLOOKUP("UD",'[1]Informacion '!P:Q,2,FALSE),"")</f>
        <v>Unidad</v>
      </c>
      <c r="D352" s="40">
        <v>30</v>
      </c>
      <c r="E352" s="43">
        <v>295</v>
      </c>
      <c r="F352" s="44">
        <f t="shared" ca="1" si="10"/>
        <v>8850</v>
      </c>
    </row>
    <row r="353" spans="1:6" ht="20.399999999999999" x14ac:dyDescent="0.3">
      <c r="A353" s="40" t="s">
        <v>168</v>
      </c>
      <c r="B353" s="41" t="str">
        <f t="shared" ca="1" si="9"/>
        <v>Servicios de laboratorios bacteriológicos</v>
      </c>
      <c r="C353" s="42" t="str">
        <f>IFERROR(VLOOKUP("UD",'[1]Informacion '!P:Q,2,FALSE),"")</f>
        <v>Unidad</v>
      </c>
      <c r="D353" s="40">
        <v>30</v>
      </c>
      <c r="E353" s="43">
        <v>295</v>
      </c>
      <c r="F353" s="44">
        <f t="shared" ca="1" si="10"/>
        <v>8850</v>
      </c>
    </row>
    <row r="354" spans="1:6" ht="20.399999999999999" x14ac:dyDescent="0.3">
      <c r="A354" s="40" t="s">
        <v>168</v>
      </c>
      <c r="B354" s="41" t="str">
        <f t="shared" ca="1" si="9"/>
        <v>Servicios de laboratorios bacteriológicos</v>
      </c>
      <c r="C354" s="42" t="str">
        <f>IFERROR(VLOOKUP("UD",'[1]Informacion '!P:Q,2,FALSE),"")</f>
        <v>Unidad</v>
      </c>
      <c r="D354" s="40">
        <v>30</v>
      </c>
      <c r="E354" s="43">
        <v>199</v>
      </c>
      <c r="F354" s="44">
        <f t="shared" ca="1" si="10"/>
        <v>5970</v>
      </c>
    </row>
    <row r="355" spans="1:6" ht="20.399999999999999" x14ac:dyDescent="0.3">
      <c r="A355" s="40" t="s">
        <v>168</v>
      </c>
      <c r="B355" s="41" t="str">
        <f t="shared" ca="1" si="9"/>
        <v>Servicios de laboratorios bacteriológicos</v>
      </c>
      <c r="C355" s="42" t="str">
        <f>IFERROR(VLOOKUP("UD",'[1]Informacion '!P:Q,2,FALSE),"")</f>
        <v>Unidad</v>
      </c>
      <c r="D355" s="40">
        <v>30</v>
      </c>
      <c r="E355" s="43">
        <v>195</v>
      </c>
      <c r="F355" s="44">
        <f t="shared" ca="1" si="10"/>
        <v>5850</v>
      </c>
    </row>
    <row r="356" spans="1:6" ht="20.399999999999999" x14ac:dyDescent="0.3">
      <c r="A356" s="40" t="s">
        <v>168</v>
      </c>
      <c r="B356" s="41" t="str">
        <f t="shared" ca="1" si="9"/>
        <v>Servicios de laboratorios bacteriológicos</v>
      </c>
      <c r="C356" s="42" t="str">
        <f>IFERROR(VLOOKUP("UD",'[1]Informacion '!P:Q,2,FALSE),"")</f>
        <v>Unidad</v>
      </c>
      <c r="D356" s="40">
        <v>30</v>
      </c>
      <c r="E356" s="43">
        <v>195</v>
      </c>
      <c r="F356" s="44">
        <f t="shared" ca="1" si="10"/>
        <v>5850</v>
      </c>
    </row>
    <row r="357" spans="1:6" ht="20.399999999999999" x14ac:dyDescent="0.3">
      <c r="A357" s="40" t="s">
        <v>168</v>
      </c>
      <c r="B357" s="41" t="str">
        <f t="shared" ca="1" si="9"/>
        <v>Servicios de laboratorios bacteriológicos</v>
      </c>
      <c r="C357" s="42" t="str">
        <f>IFERROR(VLOOKUP("UD",'[1]Informacion '!P:Q,2,FALSE),"")</f>
        <v>Unidad</v>
      </c>
      <c r="D357" s="40">
        <v>30</v>
      </c>
      <c r="E357" s="43">
        <v>195</v>
      </c>
      <c r="F357" s="44">
        <f t="shared" ca="1" si="10"/>
        <v>5850</v>
      </c>
    </row>
    <row r="358" spans="1:6" ht="20.399999999999999" x14ac:dyDescent="0.3">
      <c r="A358" s="40" t="s">
        <v>168</v>
      </c>
      <c r="B358" s="41" t="str">
        <f t="shared" ca="1" si="9"/>
        <v>Servicios de laboratorios bacteriológicos</v>
      </c>
      <c r="C358" s="42" t="str">
        <f>IFERROR(VLOOKUP("UD",'[1]Informacion '!P:Q,2,FALSE),"")</f>
        <v>Unidad</v>
      </c>
      <c r="D358" s="40">
        <v>30</v>
      </c>
      <c r="E358" s="43">
        <v>195</v>
      </c>
      <c r="F358" s="44">
        <f t="shared" ca="1" si="10"/>
        <v>5850</v>
      </c>
    </row>
    <row r="359" spans="1:6" ht="20.399999999999999" x14ac:dyDescent="0.3">
      <c r="A359" s="40" t="s">
        <v>168</v>
      </c>
      <c r="B359" s="41" t="str">
        <f t="shared" ca="1" si="9"/>
        <v>Servicios de laboratorios bacteriológicos</v>
      </c>
      <c r="C359" s="42" t="str">
        <f>IFERROR(VLOOKUP("UD",'[1]Informacion '!P:Q,2,FALSE),"")</f>
        <v>Unidad</v>
      </c>
      <c r="D359" s="40">
        <v>30</v>
      </c>
      <c r="E359" s="43">
        <v>199</v>
      </c>
      <c r="F359" s="44">
        <f t="shared" ca="1" si="10"/>
        <v>5970</v>
      </c>
    </row>
    <row r="360" spans="1:6" ht="20.399999999999999" x14ac:dyDescent="0.3">
      <c r="A360" s="40" t="s">
        <v>168</v>
      </c>
      <c r="B360" s="41" t="str">
        <f t="shared" ca="1" si="9"/>
        <v>Servicios de laboratorios bacteriológicos</v>
      </c>
      <c r="C360" s="42" t="str">
        <f>IFERROR(VLOOKUP("UD",'[1]Informacion '!P:Q,2,FALSE),"")</f>
        <v>Unidad</v>
      </c>
      <c r="D360" s="40">
        <v>30</v>
      </c>
      <c r="E360" s="43">
        <v>199</v>
      </c>
      <c r="F360" s="44">
        <f t="shared" ca="1" si="10"/>
        <v>5970</v>
      </c>
    </row>
    <row r="361" spans="1:6" ht="20.399999999999999" x14ac:dyDescent="0.3">
      <c r="A361" s="40" t="s">
        <v>168</v>
      </c>
      <c r="B361" s="41" t="str">
        <f t="shared" ca="1" si="9"/>
        <v>Servicios de laboratorios bacteriológicos</v>
      </c>
      <c r="C361" s="42" t="str">
        <f>IFERROR(VLOOKUP("UD",'[1]Informacion '!P:Q,2,FALSE),"")</f>
        <v>Unidad</v>
      </c>
      <c r="D361" s="40">
        <v>30</v>
      </c>
      <c r="E361" s="43">
        <v>199</v>
      </c>
      <c r="F361" s="44">
        <f t="shared" ca="1" si="10"/>
        <v>5970</v>
      </c>
    </row>
    <row r="362" spans="1:6" ht="20.399999999999999" x14ac:dyDescent="0.3">
      <c r="A362" s="40" t="s">
        <v>168</v>
      </c>
      <c r="B362" s="41" t="str">
        <f t="shared" ca="1" si="9"/>
        <v>Servicios de laboratorios bacteriológicos</v>
      </c>
      <c r="C362" s="42" t="str">
        <f>IFERROR(VLOOKUP("UD",'[1]Informacion '!P:Q,2,FALSE),"")</f>
        <v>Unidad</v>
      </c>
      <c r="D362" s="40">
        <v>30</v>
      </c>
      <c r="E362" s="43">
        <v>145</v>
      </c>
      <c r="F362" s="44">
        <f t="shared" ca="1" si="10"/>
        <v>4350</v>
      </c>
    </row>
    <row r="363" spans="1:6" ht="20.399999999999999" x14ac:dyDescent="0.3">
      <c r="A363" s="40" t="s">
        <v>168</v>
      </c>
      <c r="B363" s="41" t="str">
        <f t="shared" ca="1" si="9"/>
        <v>Servicios de laboratorios bacteriológicos</v>
      </c>
      <c r="C363" s="42" t="str">
        <f>IFERROR(VLOOKUP("UD",'[1]Informacion '!P:Q,2,FALSE),"")</f>
        <v>Unidad</v>
      </c>
      <c r="D363" s="40">
        <v>30</v>
      </c>
      <c r="E363" s="43">
        <v>145</v>
      </c>
      <c r="F363" s="44">
        <f t="shared" ca="1" si="10"/>
        <v>4350</v>
      </c>
    </row>
    <row r="364" spans="1:6" ht="20.399999999999999" x14ac:dyDescent="0.3">
      <c r="A364" s="40" t="s">
        <v>168</v>
      </c>
      <c r="B364" s="41" t="str">
        <f t="shared" ca="1" si="9"/>
        <v>Servicios de laboratorios bacteriológicos</v>
      </c>
      <c r="C364" s="42" t="str">
        <f>IFERROR(VLOOKUP("UD",'[1]Informacion '!P:Q,2,FALSE),"")</f>
        <v>Unidad</v>
      </c>
      <c r="D364" s="40">
        <v>20</v>
      </c>
      <c r="E364" s="43">
        <v>145</v>
      </c>
      <c r="F364" s="44">
        <f t="shared" ca="1" si="10"/>
        <v>2900</v>
      </c>
    </row>
    <row r="365" spans="1:6" ht="20.399999999999999" x14ac:dyDescent="0.3">
      <c r="A365" s="40" t="s">
        <v>168</v>
      </c>
      <c r="B365" s="41" t="str">
        <f t="shared" ca="1" si="9"/>
        <v>Servicios de laboratorios bacteriológicos</v>
      </c>
      <c r="C365" s="42" t="str">
        <f>IFERROR(VLOOKUP("UD",'[1]Informacion '!P:Q,2,FALSE),"")</f>
        <v>Unidad</v>
      </c>
      <c r="D365" s="40">
        <v>30</v>
      </c>
      <c r="E365" s="43">
        <v>221</v>
      </c>
      <c r="F365" s="44">
        <f t="shared" ca="1" si="10"/>
        <v>6630</v>
      </c>
    </row>
    <row r="366" spans="1:6" ht="20.399999999999999" x14ac:dyDescent="0.3">
      <c r="A366" s="40" t="s">
        <v>168</v>
      </c>
      <c r="B366" s="41" t="str">
        <f t="shared" ca="1" si="9"/>
        <v>Servicios de laboratorios bacteriológicos</v>
      </c>
      <c r="C366" s="42" t="str">
        <f>IFERROR(VLOOKUP("UD",'[1]Informacion '!P:Q,2,FALSE),"")</f>
        <v>Unidad</v>
      </c>
      <c r="D366" s="40">
        <v>30</v>
      </c>
      <c r="E366" s="43">
        <v>145</v>
      </c>
      <c r="F366" s="44">
        <f t="shared" ca="1" si="10"/>
        <v>4350</v>
      </c>
    </row>
    <row r="367" spans="1:6" ht="20.399999999999999" x14ac:dyDescent="0.3">
      <c r="A367" s="40" t="s">
        <v>168</v>
      </c>
      <c r="B367" s="41" t="str">
        <f t="shared" ca="1" si="9"/>
        <v>Servicios de laboratorios bacteriológicos</v>
      </c>
      <c r="C367" s="42" t="str">
        <f>IFERROR(VLOOKUP("UD",'[1]Informacion '!P:Q,2,FALSE),"")</f>
        <v>Unidad</v>
      </c>
      <c r="D367" s="40">
        <v>10</v>
      </c>
      <c r="E367" s="43">
        <v>199</v>
      </c>
      <c r="F367" s="44">
        <f t="shared" ca="1" si="10"/>
        <v>1990</v>
      </c>
    </row>
    <row r="368" spans="1:6" ht="20.399999999999999" x14ac:dyDescent="0.3">
      <c r="A368" s="40" t="s">
        <v>168</v>
      </c>
      <c r="B368" s="41" t="str">
        <f t="shared" ca="1" si="9"/>
        <v>Servicios de laboratorios bacteriológicos</v>
      </c>
      <c r="C368" s="42" t="str">
        <f>IFERROR(VLOOKUP("UD",'[1]Informacion '!P:Q,2,FALSE),"")</f>
        <v>Unidad</v>
      </c>
      <c r="D368" s="40">
        <v>10</v>
      </c>
      <c r="E368" s="43">
        <v>230</v>
      </c>
      <c r="F368" s="44">
        <f t="shared" ca="1" si="10"/>
        <v>2300</v>
      </c>
    </row>
    <row r="369" spans="1:6" x14ac:dyDescent="0.3">
      <c r="A369" s="30"/>
      <c r="B369" s="30"/>
      <c r="C369" s="30"/>
      <c r="D369" s="30"/>
      <c r="E369" s="45" t="s">
        <v>52</v>
      </c>
      <c r="F369" s="46">
        <f ca="1">SUM(Table18[MONTO TOTAL ESTIMADO])</f>
        <v>196360</v>
      </c>
    </row>
    <row r="370" spans="1:6" ht="15" thickBot="1" x14ac:dyDescent="0.35">
      <c r="A370" s="30"/>
      <c r="B370" s="30"/>
      <c r="C370" s="30"/>
      <c r="D370" s="30"/>
      <c r="E370" s="30"/>
      <c r="F370" s="30"/>
    </row>
    <row r="371" spans="1:6" ht="21" thickBot="1" x14ac:dyDescent="0.35">
      <c r="A371" s="31" t="s">
        <v>19</v>
      </c>
      <c r="B371" s="31" t="s">
        <v>20</v>
      </c>
      <c r="C371" s="31" t="s">
        <v>21</v>
      </c>
      <c r="D371" s="31" t="s">
        <v>22</v>
      </c>
      <c r="E371" s="31" t="s">
        <v>23</v>
      </c>
      <c r="F371" s="31" t="s">
        <v>24</v>
      </c>
    </row>
    <row r="372" spans="1:6" ht="41.4" thickBot="1" x14ac:dyDescent="0.35">
      <c r="A372" s="12" t="s">
        <v>169</v>
      </c>
      <c r="B372" s="12" t="s">
        <v>170</v>
      </c>
      <c r="C372" s="12" t="s">
        <v>27</v>
      </c>
      <c r="D372" s="12" t="s">
        <v>28</v>
      </c>
      <c r="E372" s="12" t="s">
        <v>59</v>
      </c>
      <c r="F372" s="12" t="s">
        <v>18</v>
      </c>
    </row>
    <row r="373" spans="1:6" ht="15" thickBot="1" x14ac:dyDescent="0.35">
      <c r="A373" s="32" t="s">
        <v>30</v>
      </c>
      <c r="B373" s="33" t="s">
        <v>31</v>
      </c>
      <c r="C373" s="34">
        <v>45684</v>
      </c>
      <c r="D373" s="32" t="s">
        <v>32</v>
      </c>
      <c r="E373" s="35" t="s">
        <v>33</v>
      </c>
      <c r="F373" s="36" t="s">
        <v>34</v>
      </c>
    </row>
    <row r="374" spans="1:6" ht="15" thickBot="1" x14ac:dyDescent="0.35">
      <c r="A374" s="37"/>
      <c r="B374" s="33" t="s">
        <v>35</v>
      </c>
      <c r="C374" s="38">
        <f>IF(C373="","",IF(AND(MONTH(C373)&gt;=1,MONTH(C373)&lt;=3),1,IF(AND(MONTH(C373)&gt;=4,MONTH(C373)&lt;=6),2,IF(AND(MONTH(C373)&gt;=7,MONTH(C373)&lt;=9),3,4))))</f>
        <v>1</v>
      </c>
      <c r="D374" s="37"/>
      <c r="E374" s="35" t="s">
        <v>36</v>
      </c>
      <c r="F374" s="36" t="s">
        <v>37</v>
      </c>
    </row>
    <row r="375" spans="1:6" ht="15" thickBot="1" x14ac:dyDescent="0.35">
      <c r="A375" s="37"/>
      <c r="B375" s="33" t="s">
        <v>38</v>
      </c>
      <c r="C375" s="34">
        <v>45687</v>
      </c>
      <c r="D375" s="37"/>
      <c r="E375" s="35" t="s">
        <v>39</v>
      </c>
      <c r="F375" s="36" t="s">
        <v>37</v>
      </c>
    </row>
    <row r="376" spans="1:6" ht="15" thickBot="1" x14ac:dyDescent="0.35">
      <c r="A376" s="37"/>
      <c r="B376" s="33" t="s">
        <v>35</v>
      </c>
      <c r="C376" s="38">
        <f>IF(C375="","",IF(AND(MONTH(C375)&gt;=1,MONTH(C375)&lt;=3),1,IF(AND(MONTH(C375)&gt;=4,MONTH(C375)&lt;=6),2,IF(AND(MONTH(C375)&gt;=7,MONTH(C375)&lt;=9),3,4))))</f>
        <v>1</v>
      </c>
      <c r="D376" s="37"/>
      <c r="E376" s="35" t="s">
        <v>40</v>
      </c>
      <c r="F376" s="36"/>
    </row>
    <row r="377" spans="1:6" ht="15" thickBot="1" x14ac:dyDescent="0.35">
      <c r="A377" s="30"/>
      <c r="B377" s="30"/>
      <c r="C377" s="30"/>
      <c r="D377" s="30"/>
      <c r="E377" s="30"/>
      <c r="F377" s="30"/>
    </row>
    <row r="378" spans="1:6" ht="15" thickBot="1" x14ac:dyDescent="0.35">
      <c r="A378" s="39" t="s">
        <v>41</v>
      </c>
      <c r="B378" s="39" t="s">
        <v>42</v>
      </c>
      <c r="C378" s="39" t="s">
        <v>43</v>
      </c>
      <c r="D378" s="39" t="s">
        <v>44</v>
      </c>
      <c r="E378" s="39" t="s">
        <v>45</v>
      </c>
      <c r="F378" s="39" t="s">
        <v>46</v>
      </c>
    </row>
    <row r="379" spans="1:6" x14ac:dyDescent="0.3">
      <c r="A379" s="40" t="s">
        <v>55</v>
      </c>
      <c r="B379" s="41" t="str">
        <f ca="1">IFERROR(INDEX(UNSPSCDes,MATCH(INDIRECT(ADDRESS(ROW(),COLUMN()-1,4)),UNSPSCCode,0)),IF(INDIRECT(ADDRESS(ROW(),COLUMN()-1,4))="50111510","Carne de ave o carne fresca",""))</f>
        <v>Carne de ave o carne fresca</v>
      </c>
      <c r="C379" s="42" t="str">
        <f>IFERROR(VLOOKUP("UD",'[1]Informacion '!P:Q,2,FALSE),"")</f>
        <v>Unidad</v>
      </c>
      <c r="D379" s="40">
        <v>60</v>
      </c>
      <c r="E379" s="43">
        <v>18500</v>
      </c>
      <c r="F379" s="44">
        <f ca="1">INDIRECT(ADDRESS(ROW(),COLUMN()-2,4))*INDIRECT(ADDRESS(ROW(),COLUMN()-1,4))</f>
        <v>1110000</v>
      </c>
    </row>
    <row r="380" spans="1:6" x14ac:dyDescent="0.3">
      <c r="A380" s="40" t="s">
        <v>55</v>
      </c>
      <c r="B380" s="41" t="str">
        <f ca="1">IFERROR(INDEX(UNSPSCDes,MATCH(INDIRECT(ADDRESS(ROW(),COLUMN()-1,4)),UNSPSCCode,0)),IF(INDIRECT(ADDRESS(ROW(),COLUMN()-1,4))="50111510","Carne de ave o carne fresca",""))</f>
        <v>Carne de ave o carne fresca</v>
      </c>
      <c r="C380" s="42" t="str">
        <f>IFERROR(VLOOKUP("UD",'[1]Informacion '!P:Q,2,FALSE),"")</f>
        <v>Unidad</v>
      </c>
      <c r="D380" s="40">
        <v>40</v>
      </c>
      <c r="E380" s="43">
        <v>15000</v>
      </c>
      <c r="F380" s="44">
        <f ca="1">INDIRECT(ADDRESS(ROW(),COLUMN()-2,4))*INDIRECT(ADDRESS(ROW(),COLUMN()-1,4))</f>
        <v>600000</v>
      </c>
    </row>
    <row r="381" spans="1:6" x14ac:dyDescent="0.3">
      <c r="A381" s="30"/>
      <c r="B381" s="30"/>
      <c r="C381" s="30"/>
      <c r="D381" s="30"/>
      <c r="E381" s="45" t="s">
        <v>52</v>
      </c>
      <c r="F381" s="46">
        <f ca="1">SUM(Table19[MONTO TOTAL ESTIMADO])</f>
        <v>1710000</v>
      </c>
    </row>
    <row r="382" spans="1:6" ht="15" thickBot="1" x14ac:dyDescent="0.35">
      <c r="A382" s="30"/>
      <c r="B382" s="30"/>
      <c r="C382" s="30"/>
      <c r="D382" s="30"/>
      <c r="E382" s="30"/>
      <c r="F382" s="30"/>
    </row>
    <row r="383" spans="1:6" ht="21" thickBot="1" x14ac:dyDescent="0.35">
      <c r="A383" s="31" t="s">
        <v>19</v>
      </c>
      <c r="B383" s="31" t="s">
        <v>20</v>
      </c>
      <c r="C383" s="31" t="s">
        <v>21</v>
      </c>
      <c r="D383" s="31" t="s">
        <v>22</v>
      </c>
      <c r="E383" s="31" t="s">
        <v>23</v>
      </c>
      <c r="F383" s="31" t="s">
        <v>24</v>
      </c>
    </row>
    <row r="384" spans="1:6" ht="41.4" thickBot="1" x14ac:dyDescent="0.35">
      <c r="A384" s="12" t="s">
        <v>171</v>
      </c>
      <c r="B384" s="12" t="s">
        <v>171</v>
      </c>
      <c r="C384" s="12" t="s">
        <v>143</v>
      </c>
      <c r="D384" s="12" t="s">
        <v>28</v>
      </c>
      <c r="E384" s="12" t="s">
        <v>59</v>
      </c>
      <c r="F384" s="12" t="s">
        <v>18</v>
      </c>
    </row>
    <row r="385" spans="1:6" ht="15" thickBot="1" x14ac:dyDescent="0.35">
      <c r="A385" s="32" t="s">
        <v>30</v>
      </c>
      <c r="B385" s="33" t="s">
        <v>31</v>
      </c>
      <c r="C385" s="34">
        <v>45691</v>
      </c>
      <c r="D385" s="32" t="s">
        <v>32</v>
      </c>
      <c r="E385" s="35" t="s">
        <v>33</v>
      </c>
      <c r="F385" s="36" t="s">
        <v>34</v>
      </c>
    </row>
    <row r="386" spans="1:6" ht="15" thickBot="1" x14ac:dyDescent="0.35">
      <c r="A386" s="37"/>
      <c r="B386" s="33" t="s">
        <v>35</v>
      </c>
      <c r="C386" s="38">
        <f>IF(C385="","",IF(AND(MONTH(C385)&gt;=1,MONTH(C385)&lt;=3),1,IF(AND(MONTH(C385)&gt;=4,MONTH(C385)&lt;=6),2,IF(AND(MONTH(C385)&gt;=7,MONTH(C385)&lt;=9),3,4))))</f>
        <v>1</v>
      </c>
      <c r="D386" s="37"/>
      <c r="E386" s="35" t="s">
        <v>36</v>
      </c>
      <c r="F386" s="36" t="s">
        <v>37</v>
      </c>
    </row>
    <row r="387" spans="1:6" ht="15" thickBot="1" x14ac:dyDescent="0.35">
      <c r="A387" s="37"/>
      <c r="B387" s="33" t="s">
        <v>38</v>
      </c>
      <c r="C387" s="34">
        <v>45694</v>
      </c>
      <c r="D387" s="37"/>
      <c r="E387" s="35" t="s">
        <v>39</v>
      </c>
      <c r="F387" s="36" t="s">
        <v>37</v>
      </c>
    </row>
    <row r="388" spans="1:6" ht="15" thickBot="1" x14ac:dyDescent="0.35">
      <c r="A388" s="37"/>
      <c r="B388" s="33" t="s">
        <v>35</v>
      </c>
      <c r="C388" s="38">
        <f>IF(C387="","",IF(AND(MONTH(C387)&gt;=1,MONTH(C387)&lt;=3),1,IF(AND(MONTH(C387)&gt;=4,MONTH(C387)&lt;=6),2,IF(AND(MONTH(C387)&gt;=7,MONTH(C387)&lt;=9),3,4))))</f>
        <v>1</v>
      </c>
      <c r="D388" s="37"/>
      <c r="E388" s="35" t="s">
        <v>40</v>
      </c>
      <c r="F388" s="36"/>
    </row>
    <row r="389" spans="1:6" ht="15" thickBot="1" x14ac:dyDescent="0.35">
      <c r="A389" s="30"/>
      <c r="B389" s="30"/>
      <c r="C389" s="30"/>
      <c r="D389" s="30"/>
      <c r="E389" s="30"/>
      <c r="F389" s="30"/>
    </row>
    <row r="390" spans="1:6" ht="15" thickBot="1" x14ac:dyDescent="0.35">
      <c r="A390" s="39" t="s">
        <v>41</v>
      </c>
      <c r="B390" s="39" t="s">
        <v>42</v>
      </c>
      <c r="C390" s="39" t="s">
        <v>43</v>
      </c>
      <c r="D390" s="39" t="s">
        <v>44</v>
      </c>
      <c r="E390" s="39" t="s">
        <v>45</v>
      </c>
      <c r="F390" s="39" t="s">
        <v>46</v>
      </c>
    </row>
    <row r="391" spans="1:6" x14ac:dyDescent="0.3">
      <c r="A391" s="40" t="s">
        <v>172</v>
      </c>
      <c r="B391" s="41" t="str">
        <f ca="1">IFERROR(INDEX(UNSPSCDes,MATCH(INDIRECT(ADDRESS(ROW(),COLUMN()-1,4)),UNSPSCCode,0)),IF(INDIRECT(ADDRESS(ROW(),COLUMN()-1,4))="10161513","Palmeras",""))</f>
        <v>Palmeras</v>
      </c>
      <c r="C391" s="42" t="str">
        <f>IFERROR(VLOOKUP("UD",'[1]Informacion '!P:Q,2,FALSE),"")</f>
        <v>Unidad</v>
      </c>
      <c r="D391" s="40">
        <v>1</v>
      </c>
      <c r="E391" s="43">
        <v>165000</v>
      </c>
      <c r="F391" s="44">
        <f ca="1">INDIRECT(ADDRESS(ROW(),COLUMN()-2,4))*INDIRECT(ADDRESS(ROW(),COLUMN()-1,4))</f>
        <v>165000</v>
      </c>
    </row>
    <row r="392" spans="1:6" x14ac:dyDescent="0.3">
      <c r="A392" s="40" t="s">
        <v>173</v>
      </c>
      <c r="B392" s="41" t="str">
        <f ca="1">IFERROR(INDEX(UNSPSCDes,MATCH(INDIRECT(ADDRESS(ROW(),COLUMN()-1,4)),UNSPSCCode,0)),IF(INDIRECT(ADDRESS(ROW(),COLUMN()-1,4))="80111613","Trabajadores manuales temporales",""))</f>
        <v>Trabajadores manuales temporales</v>
      </c>
      <c r="C392" s="42" t="str">
        <f>IFERROR(VLOOKUP("UD",'[1]Informacion '!P:Q,2,FALSE),"")</f>
        <v>Unidad</v>
      </c>
      <c r="D392" s="40">
        <v>1</v>
      </c>
      <c r="E392" s="43">
        <v>110000</v>
      </c>
      <c r="F392" s="44">
        <f ca="1">INDIRECT(ADDRESS(ROW(),COLUMN()-2,4))*INDIRECT(ADDRESS(ROW(),COLUMN()-1,4))</f>
        <v>110000</v>
      </c>
    </row>
    <row r="393" spans="1:6" x14ac:dyDescent="0.3">
      <c r="A393" s="30"/>
      <c r="B393" s="30"/>
      <c r="C393" s="30"/>
      <c r="D393" s="30"/>
      <c r="E393" s="45" t="s">
        <v>52</v>
      </c>
      <c r="F393" s="46">
        <f ca="1">SUM(Table20[MONTO TOTAL ESTIMADO])</f>
        <v>275000</v>
      </c>
    </row>
    <row r="394" spans="1:6" ht="15" thickBot="1" x14ac:dyDescent="0.35">
      <c r="A394" s="30"/>
      <c r="B394" s="30"/>
      <c r="C394" s="30"/>
      <c r="D394" s="30"/>
      <c r="E394" s="30"/>
      <c r="F394" s="30"/>
    </row>
    <row r="395" spans="1:6" ht="21" thickBot="1" x14ac:dyDescent="0.35">
      <c r="A395" s="31" t="s">
        <v>19</v>
      </c>
      <c r="B395" s="31" t="s">
        <v>20</v>
      </c>
      <c r="C395" s="31" t="s">
        <v>21</v>
      </c>
      <c r="D395" s="31" t="s">
        <v>22</v>
      </c>
      <c r="E395" s="31" t="s">
        <v>23</v>
      </c>
      <c r="F395" s="31" t="s">
        <v>24</v>
      </c>
    </row>
    <row r="396" spans="1:6" ht="31.2" thickBot="1" x14ac:dyDescent="0.35">
      <c r="A396" s="12" t="s">
        <v>174</v>
      </c>
      <c r="B396" s="12" t="s">
        <v>174</v>
      </c>
      <c r="C396" s="12" t="s">
        <v>27</v>
      </c>
      <c r="D396" s="12" t="s">
        <v>28</v>
      </c>
      <c r="E396" s="12" t="s">
        <v>59</v>
      </c>
      <c r="F396" s="12" t="s">
        <v>18</v>
      </c>
    </row>
    <row r="397" spans="1:6" ht="15" thickBot="1" x14ac:dyDescent="0.35">
      <c r="A397" s="32" t="s">
        <v>30</v>
      </c>
      <c r="B397" s="33" t="s">
        <v>31</v>
      </c>
      <c r="C397" s="34">
        <v>45705</v>
      </c>
      <c r="D397" s="32" t="s">
        <v>32</v>
      </c>
      <c r="E397" s="35" t="s">
        <v>33</v>
      </c>
      <c r="F397" s="36" t="s">
        <v>34</v>
      </c>
    </row>
    <row r="398" spans="1:6" ht="15" thickBot="1" x14ac:dyDescent="0.35">
      <c r="A398" s="37"/>
      <c r="B398" s="33" t="s">
        <v>35</v>
      </c>
      <c r="C398" s="38">
        <f>IF(C397="","",IF(AND(MONTH(C397)&gt;=1,MONTH(C397)&lt;=3),1,IF(AND(MONTH(C397)&gt;=4,MONTH(C397)&lt;=6),2,IF(AND(MONTH(C397)&gt;=7,MONTH(C397)&lt;=9),3,4))))</f>
        <v>1</v>
      </c>
      <c r="D398" s="37"/>
      <c r="E398" s="35" t="s">
        <v>36</v>
      </c>
      <c r="F398" s="36" t="s">
        <v>37</v>
      </c>
    </row>
    <row r="399" spans="1:6" ht="15" thickBot="1" x14ac:dyDescent="0.35">
      <c r="A399" s="37"/>
      <c r="B399" s="33" t="s">
        <v>38</v>
      </c>
      <c r="C399" s="34">
        <v>45708</v>
      </c>
      <c r="D399" s="37"/>
      <c r="E399" s="35" t="s">
        <v>39</v>
      </c>
      <c r="F399" s="36" t="s">
        <v>37</v>
      </c>
    </row>
    <row r="400" spans="1:6" ht="15" thickBot="1" x14ac:dyDescent="0.35">
      <c r="A400" s="37"/>
      <c r="B400" s="33" t="s">
        <v>35</v>
      </c>
      <c r="C400" s="38">
        <f>IF(C399="","",IF(AND(MONTH(C399)&gt;=1,MONTH(C399)&lt;=3),1,IF(AND(MONTH(C399)&gt;=4,MONTH(C399)&lt;=6),2,IF(AND(MONTH(C399)&gt;=7,MONTH(C399)&lt;=9),3,4))))</f>
        <v>1</v>
      </c>
      <c r="D400" s="37"/>
      <c r="E400" s="35" t="s">
        <v>40</v>
      </c>
      <c r="F400" s="36"/>
    </row>
    <row r="401" spans="1:6" ht="15" thickBot="1" x14ac:dyDescent="0.35">
      <c r="A401" s="30"/>
      <c r="B401" s="30"/>
      <c r="C401" s="30"/>
      <c r="D401" s="30"/>
      <c r="E401" s="30"/>
      <c r="F401" s="30"/>
    </row>
    <row r="402" spans="1:6" ht="15" thickBot="1" x14ac:dyDescent="0.35">
      <c r="A402" s="39" t="s">
        <v>41</v>
      </c>
      <c r="B402" s="39" t="s">
        <v>42</v>
      </c>
      <c r="C402" s="39" t="s">
        <v>43</v>
      </c>
      <c r="D402" s="39" t="s">
        <v>44</v>
      </c>
      <c r="E402" s="39" t="s">
        <v>45</v>
      </c>
      <c r="F402" s="39" t="s">
        <v>46</v>
      </c>
    </row>
    <row r="403" spans="1:6" ht="20.399999999999999" x14ac:dyDescent="0.3">
      <c r="A403" s="40" t="s">
        <v>175</v>
      </c>
      <c r="B403" s="41" t="str">
        <f ca="1">IFERROR(INDEX(UNSPSCDes,MATCH(INDIRECT(ADDRESS(ROW(),COLUMN()-1,4)),UNSPSCCode,0)),IF(INDIRECT(ADDRESS(ROW(),COLUMN()-1,4))="72102602","Instalación de ventanas, puertas o dispositivos",""))</f>
        <v>Instalación de ventanas, puertas o dispositivos</v>
      </c>
      <c r="C403" s="42" t="str">
        <f>IFERROR(VLOOKUP("UD",'[1]Informacion '!P:Q,2,FALSE),"")</f>
        <v>Unidad</v>
      </c>
      <c r="D403" s="40">
        <v>1</v>
      </c>
      <c r="E403" s="43">
        <v>200000</v>
      </c>
      <c r="F403" s="44">
        <f ca="1">INDIRECT(ADDRESS(ROW(),COLUMN()-2,4))*INDIRECT(ADDRESS(ROW(),COLUMN()-1,4))</f>
        <v>200000</v>
      </c>
    </row>
    <row r="404" spans="1:6" ht="20.399999999999999" x14ac:dyDescent="0.3">
      <c r="A404" s="40" t="s">
        <v>175</v>
      </c>
      <c r="B404" s="41" t="str">
        <f ca="1">IFERROR(INDEX(UNSPSCDes,MATCH(INDIRECT(ADDRESS(ROW(),COLUMN()-1,4)),UNSPSCCode,0)),IF(INDIRECT(ADDRESS(ROW(),COLUMN()-1,4))="72102602","Instalación de ventanas, puertas o dispositivos",""))</f>
        <v>Instalación de ventanas, puertas o dispositivos</v>
      </c>
      <c r="C404" s="42" t="str">
        <f>IFERROR(VLOOKUP("UD",'[1]Informacion '!P:Q,2,FALSE),"")</f>
        <v>Unidad</v>
      </c>
      <c r="D404" s="40">
        <v>1</v>
      </c>
      <c r="E404" s="43">
        <v>100000</v>
      </c>
      <c r="F404" s="44">
        <f ca="1">INDIRECT(ADDRESS(ROW(),COLUMN()-2,4))*INDIRECT(ADDRESS(ROW(),COLUMN()-1,4))</f>
        <v>100000</v>
      </c>
    </row>
    <row r="405" spans="1:6" ht="20.399999999999999" x14ac:dyDescent="0.3">
      <c r="A405" s="40" t="s">
        <v>175</v>
      </c>
      <c r="B405" s="41" t="str">
        <f ca="1">IFERROR(INDEX(UNSPSCDes,MATCH(INDIRECT(ADDRESS(ROW(),COLUMN()-1,4)),UNSPSCCode,0)),IF(INDIRECT(ADDRESS(ROW(),COLUMN()-1,4))="72102602","Instalación de ventanas, puertas o dispositivos",""))</f>
        <v>Instalación de ventanas, puertas o dispositivos</v>
      </c>
      <c r="C405" s="42" t="str">
        <f>IFERROR(VLOOKUP("UD",'[1]Informacion '!P:Q,2,FALSE),"")</f>
        <v>Unidad</v>
      </c>
      <c r="D405" s="40">
        <v>1</v>
      </c>
      <c r="E405" s="43">
        <v>80000</v>
      </c>
      <c r="F405" s="44">
        <f ca="1">INDIRECT(ADDRESS(ROW(),COLUMN()-2,4))*INDIRECT(ADDRESS(ROW(),COLUMN()-1,4))</f>
        <v>80000</v>
      </c>
    </row>
    <row r="406" spans="1:6" ht="20.399999999999999" x14ac:dyDescent="0.3">
      <c r="A406" s="40" t="s">
        <v>175</v>
      </c>
      <c r="B406" s="41" t="str">
        <f ca="1">IFERROR(INDEX(UNSPSCDes,MATCH(INDIRECT(ADDRESS(ROW(),COLUMN()-1,4)),UNSPSCCode,0)),IF(INDIRECT(ADDRESS(ROW(),COLUMN()-1,4))="72102602","Instalación de ventanas, puertas o dispositivos",""))</f>
        <v>Instalación de ventanas, puertas o dispositivos</v>
      </c>
      <c r="C406" s="42" t="str">
        <f>IFERROR(VLOOKUP("UD",'[1]Informacion '!P:Q,2,FALSE),"")</f>
        <v>Unidad</v>
      </c>
      <c r="D406" s="40">
        <v>1</v>
      </c>
      <c r="E406" s="43">
        <v>80000</v>
      </c>
      <c r="F406" s="44">
        <f ca="1">INDIRECT(ADDRESS(ROW(),COLUMN()-2,4))*INDIRECT(ADDRESS(ROW(),COLUMN()-1,4))</f>
        <v>80000</v>
      </c>
    </row>
    <row r="407" spans="1:6" ht="20.399999999999999" x14ac:dyDescent="0.3">
      <c r="A407" s="40" t="s">
        <v>175</v>
      </c>
      <c r="B407" s="41" t="str">
        <f ca="1">IFERROR(INDEX(UNSPSCDes,MATCH(INDIRECT(ADDRESS(ROW(),COLUMN()-1,4)),UNSPSCCode,0)),IF(INDIRECT(ADDRESS(ROW(),COLUMN()-1,4))="72102602","Instalación de ventanas, puertas o dispositivos",""))</f>
        <v>Instalación de ventanas, puertas o dispositivos</v>
      </c>
      <c r="C407" s="42" t="str">
        <f>IFERROR(VLOOKUP("UD",'[1]Informacion '!P:Q,2,FALSE),"")</f>
        <v>Unidad</v>
      </c>
      <c r="D407" s="40">
        <v>1</v>
      </c>
      <c r="E407" s="43">
        <v>80000</v>
      </c>
      <c r="F407" s="44">
        <f ca="1">INDIRECT(ADDRESS(ROW(),COLUMN()-2,4))*INDIRECT(ADDRESS(ROW(),COLUMN()-1,4))</f>
        <v>80000</v>
      </c>
    </row>
    <row r="408" spans="1:6" x14ac:dyDescent="0.3">
      <c r="A408" s="30"/>
      <c r="B408" s="30"/>
      <c r="C408" s="30"/>
      <c r="D408" s="30"/>
      <c r="E408" s="45" t="s">
        <v>52</v>
      </c>
      <c r="F408" s="46">
        <f ca="1">SUM(Table21[MONTO TOTAL ESTIMADO])</f>
        <v>540000</v>
      </c>
    </row>
    <row r="409" spans="1:6" ht="15" thickBot="1" x14ac:dyDescent="0.35">
      <c r="A409" s="30"/>
      <c r="B409" s="30"/>
      <c r="C409" s="30"/>
      <c r="D409" s="30"/>
      <c r="E409" s="30"/>
      <c r="F409" s="30"/>
    </row>
    <row r="410" spans="1:6" ht="21" thickBot="1" x14ac:dyDescent="0.35">
      <c r="A410" s="31" t="s">
        <v>19</v>
      </c>
      <c r="B410" s="31" t="s">
        <v>20</v>
      </c>
      <c r="C410" s="31" t="s">
        <v>21</v>
      </c>
      <c r="D410" s="31" t="s">
        <v>22</v>
      </c>
      <c r="E410" s="31" t="s">
        <v>23</v>
      </c>
      <c r="F410" s="31" t="s">
        <v>24</v>
      </c>
    </row>
    <row r="411" spans="1:6" ht="31.2" thickBot="1" x14ac:dyDescent="0.35">
      <c r="A411" s="12" t="s">
        <v>176</v>
      </c>
      <c r="B411" s="12" t="s">
        <v>176</v>
      </c>
      <c r="C411" s="12" t="s">
        <v>143</v>
      </c>
      <c r="D411" s="12" t="s">
        <v>28</v>
      </c>
      <c r="E411" s="12" t="s">
        <v>59</v>
      </c>
      <c r="F411" s="12" t="s">
        <v>18</v>
      </c>
    </row>
    <row r="412" spans="1:6" ht="15" thickBot="1" x14ac:dyDescent="0.35">
      <c r="A412" s="32" t="s">
        <v>30</v>
      </c>
      <c r="B412" s="33" t="s">
        <v>31</v>
      </c>
      <c r="C412" s="34">
        <v>45705</v>
      </c>
      <c r="D412" s="32" t="s">
        <v>32</v>
      </c>
      <c r="E412" s="35" t="s">
        <v>33</v>
      </c>
      <c r="F412" s="36" t="s">
        <v>34</v>
      </c>
    </row>
    <row r="413" spans="1:6" ht="15" thickBot="1" x14ac:dyDescent="0.35">
      <c r="A413" s="37"/>
      <c r="B413" s="33" t="s">
        <v>35</v>
      </c>
      <c r="C413" s="38">
        <f>IF(C412="","",IF(AND(MONTH(C412)&gt;=1,MONTH(C412)&lt;=3),1,IF(AND(MONTH(C412)&gt;=4,MONTH(C412)&lt;=6),2,IF(AND(MONTH(C412)&gt;=7,MONTH(C412)&lt;=9),3,4))))</f>
        <v>1</v>
      </c>
      <c r="D413" s="37"/>
      <c r="E413" s="35" t="s">
        <v>36</v>
      </c>
      <c r="F413" s="36" t="s">
        <v>37</v>
      </c>
    </row>
    <row r="414" spans="1:6" ht="15" thickBot="1" x14ac:dyDescent="0.35">
      <c r="A414" s="37"/>
      <c r="B414" s="33" t="s">
        <v>38</v>
      </c>
      <c r="C414" s="34">
        <v>45708</v>
      </c>
      <c r="D414" s="37"/>
      <c r="E414" s="35" t="s">
        <v>39</v>
      </c>
      <c r="F414" s="36" t="s">
        <v>37</v>
      </c>
    </row>
    <row r="415" spans="1:6" ht="15" thickBot="1" x14ac:dyDescent="0.35">
      <c r="A415" s="37"/>
      <c r="B415" s="33" t="s">
        <v>35</v>
      </c>
      <c r="C415" s="38">
        <f>IF(C414="","",IF(AND(MONTH(C414)&gt;=1,MONTH(C414)&lt;=3),1,IF(AND(MONTH(C414)&gt;=4,MONTH(C414)&lt;=6),2,IF(AND(MONTH(C414)&gt;=7,MONTH(C414)&lt;=9),3,4))))</f>
        <v>1</v>
      </c>
      <c r="D415" s="37"/>
      <c r="E415" s="35" t="s">
        <v>40</v>
      </c>
      <c r="F415" s="36"/>
    </row>
    <row r="416" spans="1:6" ht="15" thickBot="1" x14ac:dyDescent="0.35">
      <c r="A416" s="30"/>
      <c r="B416" s="30"/>
      <c r="C416" s="30"/>
      <c r="D416" s="30"/>
      <c r="E416" s="30"/>
      <c r="F416" s="30"/>
    </row>
    <row r="417" spans="1:6" ht="15" thickBot="1" x14ac:dyDescent="0.35">
      <c r="A417" s="39" t="s">
        <v>41</v>
      </c>
      <c r="B417" s="39" t="s">
        <v>42</v>
      </c>
      <c r="C417" s="39" t="s">
        <v>43</v>
      </c>
      <c r="D417" s="39" t="s">
        <v>44</v>
      </c>
      <c r="E417" s="39" t="s">
        <v>45</v>
      </c>
      <c r="F417" s="39" t="s">
        <v>46</v>
      </c>
    </row>
    <row r="418" spans="1:6" x14ac:dyDescent="0.3">
      <c r="A418" s="40" t="s">
        <v>177</v>
      </c>
      <c r="B418" s="41" t="str">
        <f ca="1">IFERROR(INDEX(UNSPSCDes,MATCH(INDIRECT(ADDRESS(ROW(),COLUMN()-1,4)),UNSPSCCode,0)),IF(INDIRECT(ADDRESS(ROW(),COLUMN()-1,4))="30171706","Vidrio templado",""))</f>
        <v>Vidrio templado</v>
      </c>
      <c r="C418" s="42" t="str">
        <f>IFERROR(VLOOKUP("UD",'[1]Informacion '!P:Q,2,FALSE),"")</f>
        <v>Unidad</v>
      </c>
      <c r="D418" s="40">
        <v>4</v>
      </c>
      <c r="E418" s="43">
        <v>30000</v>
      </c>
      <c r="F418" s="44">
        <f ca="1">INDIRECT(ADDRESS(ROW(),COLUMN()-2,4))*INDIRECT(ADDRESS(ROW(),COLUMN()-1,4))</f>
        <v>120000</v>
      </c>
    </row>
    <row r="419" spans="1:6" x14ac:dyDescent="0.3">
      <c r="A419" s="40" t="s">
        <v>177</v>
      </c>
      <c r="B419" s="41" t="str">
        <f ca="1">IFERROR(INDEX(UNSPSCDes,MATCH(INDIRECT(ADDRESS(ROW(),COLUMN()-1,4)),UNSPSCCode,0)),IF(INDIRECT(ADDRESS(ROW(),COLUMN()-1,4))="30171706","Vidrio templado",""))</f>
        <v>Vidrio templado</v>
      </c>
      <c r="C419" s="42" t="str">
        <f>IFERROR(VLOOKUP("UD",'[1]Informacion '!P:Q,2,FALSE),"")</f>
        <v>Unidad</v>
      </c>
      <c r="D419" s="40">
        <v>4</v>
      </c>
      <c r="E419" s="43">
        <v>30000</v>
      </c>
      <c r="F419" s="44">
        <f ca="1">INDIRECT(ADDRESS(ROW(),COLUMN()-2,4))*INDIRECT(ADDRESS(ROW(),COLUMN()-1,4))</f>
        <v>120000</v>
      </c>
    </row>
    <row r="420" spans="1:6" ht="20.399999999999999" x14ac:dyDescent="0.3">
      <c r="A420" s="40" t="s">
        <v>175</v>
      </c>
      <c r="B420" s="41" t="str">
        <f ca="1">IFERROR(INDEX(UNSPSCDes,MATCH(INDIRECT(ADDRESS(ROW(),COLUMN()-1,4)),UNSPSCCode,0)),IF(INDIRECT(ADDRESS(ROW(),COLUMN()-1,4))="72102602","Instalación de ventanas, puertas o dispositivos",""))</f>
        <v>Instalación de ventanas, puertas o dispositivos</v>
      </c>
      <c r="C420" s="42" t="str">
        <f>IFERROR(VLOOKUP("UD",'[1]Informacion '!P:Q,2,FALSE),"")</f>
        <v>Unidad</v>
      </c>
      <c r="D420" s="40">
        <v>1</v>
      </c>
      <c r="E420" s="43">
        <v>60000</v>
      </c>
      <c r="F420" s="44">
        <f ca="1">INDIRECT(ADDRESS(ROW(),COLUMN()-2,4))*INDIRECT(ADDRESS(ROW(),COLUMN()-1,4))</f>
        <v>60000</v>
      </c>
    </row>
    <row r="421" spans="1:6" x14ac:dyDescent="0.3">
      <c r="A421" s="30"/>
      <c r="B421" s="30"/>
      <c r="C421" s="30"/>
      <c r="D421" s="30"/>
      <c r="E421" s="45" t="s">
        <v>52</v>
      </c>
      <c r="F421" s="46">
        <f ca="1">SUM(Table22[MONTO TOTAL ESTIMADO])</f>
        <v>300000</v>
      </c>
    </row>
    <row r="422" spans="1:6" ht="15" thickBot="1" x14ac:dyDescent="0.35">
      <c r="A422" s="30"/>
      <c r="B422" s="30"/>
      <c r="C422" s="30"/>
      <c r="D422" s="30"/>
      <c r="E422" s="30"/>
      <c r="F422" s="30"/>
    </row>
    <row r="423" spans="1:6" ht="21" thickBot="1" x14ac:dyDescent="0.35">
      <c r="A423" s="31" t="s">
        <v>19</v>
      </c>
      <c r="B423" s="31" t="s">
        <v>20</v>
      </c>
      <c r="C423" s="31" t="s">
        <v>21</v>
      </c>
      <c r="D423" s="31" t="s">
        <v>22</v>
      </c>
      <c r="E423" s="31" t="s">
        <v>23</v>
      </c>
      <c r="F423" s="31" t="s">
        <v>24</v>
      </c>
    </row>
    <row r="424" spans="1:6" ht="21" thickBot="1" x14ac:dyDescent="0.35">
      <c r="A424" s="12" t="s">
        <v>178</v>
      </c>
      <c r="B424" s="12" t="s">
        <v>178</v>
      </c>
      <c r="C424" s="12" t="s">
        <v>27</v>
      </c>
      <c r="D424" s="12" t="s">
        <v>80</v>
      </c>
      <c r="E424" s="12" t="s">
        <v>29</v>
      </c>
      <c r="F424" s="12" t="s">
        <v>18</v>
      </c>
    </row>
    <row r="425" spans="1:6" ht="15" thickBot="1" x14ac:dyDescent="0.35">
      <c r="A425" s="32" t="s">
        <v>30</v>
      </c>
      <c r="B425" s="33" t="s">
        <v>31</v>
      </c>
      <c r="C425" s="34">
        <v>45705</v>
      </c>
      <c r="D425" s="32" t="s">
        <v>32</v>
      </c>
      <c r="E425" s="35" t="s">
        <v>33</v>
      </c>
      <c r="F425" s="36" t="s">
        <v>34</v>
      </c>
    </row>
    <row r="426" spans="1:6" ht="15" thickBot="1" x14ac:dyDescent="0.35">
      <c r="A426" s="37"/>
      <c r="B426" s="33" t="s">
        <v>35</v>
      </c>
      <c r="C426" s="38">
        <f>IF(C425="","",IF(AND(MONTH(C425)&gt;=1,MONTH(C425)&lt;=3),1,IF(AND(MONTH(C425)&gt;=4,MONTH(C425)&lt;=6),2,IF(AND(MONTH(C425)&gt;=7,MONTH(C425)&lt;=9),3,4))))</f>
        <v>1</v>
      </c>
      <c r="D426" s="37"/>
      <c r="E426" s="35" t="s">
        <v>36</v>
      </c>
      <c r="F426" s="36" t="s">
        <v>37</v>
      </c>
    </row>
    <row r="427" spans="1:6" ht="15" thickBot="1" x14ac:dyDescent="0.35">
      <c r="A427" s="37"/>
      <c r="B427" s="33" t="s">
        <v>38</v>
      </c>
      <c r="C427" s="34">
        <v>45708</v>
      </c>
      <c r="D427" s="37"/>
      <c r="E427" s="35" t="s">
        <v>39</v>
      </c>
      <c r="F427" s="36" t="s">
        <v>37</v>
      </c>
    </row>
    <row r="428" spans="1:6" ht="15" thickBot="1" x14ac:dyDescent="0.35">
      <c r="A428" s="37"/>
      <c r="B428" s="33" t="s">
        <v>35</v>
      </c>
      <c r="C428" s="38">
        <f>IF(C427="","",IF(AND(MONTH(C427)&gt;=1,MONTH(C427)&lt;=3),1,IF(AND(MONTH(C427)&gt;=4,MONTH(C427)&lt;=6),2,IF(AND(MONTH(C427)&gt;=7,MONTH(C427)&lt;=9),3,4))))</f>
        <v>1</v>
      </c>
      <c r="D428" s="37"/>
      <c r="E428" s="35" t="s">
        <v>40</v>
      </c>
      <c r="F428" s="36"/>
    </row>
    <row r="429" spans="1:6" ht="15" thickBot="1" x14ac:dyDescent="0.35">
      <c r="A429" s="30"/>
      <c r="B429" s="30"/>
      <c r="C429" s="30"/>
      <c r="D429" s="30"/>
      <c r="E429" s="30"/>
      <c r="F429" s="30"/>
    </row>
    <row r="430" spans="1:6" ht="15" thickBot="1" x14ac:dyDescent="0.35">
      <c r="A430" s="39" t="s">
        <v>41</v>
      </c>
      <c r="B430" s="39" t="s">
        <v>42</v>
      </c>
      <c r="C430" s="39" t="s">
        <v>43</v>
      </c>
      <c r="D430" s="39" t="s">
        <v>44</v>
      </c>
      <c r="E430" s="39" t="s">
        <v>45</v>
      </c>
      <c r="F430" s="39" t="s">
        <v>46</v>
      </c>
    </row>
    <row r="431" spans="1:6" x14ac:dyDescent="0.3">
      <c r="A431" s="40" t="s">
        <v>179</v>
      </c>
      <c r="B431" s="41" t="str">
        <f ca="1">IFERROR(INDEX(UNSPSCDes,MATCH(INDIRECT(ADDRESS(ROW(),COLUMN()-1,4)),UNSPSCCode,0)),IF(INDIRECT(ADDRESS(ROW(),COLUMN()-1,4))="30191502","Andamios",""))</f>
        <v>Andamios</v>
      </c>
      <c r="C431" s="42" t="str">
        <f>IFERROR(VLOOKUP("UD",'[1]Informacion '!P:Q,2,FALSE),"")</f>
        <v>Unidad</v>
      </c>
      <c r="D431" s="40">
        <v>2</v>
      </c>
      <c r="E431" s="43">
        <v>75000</v>
      </c>
      <c r="F431" s="44">
        <f ca="1">INDIRECT(ADDRESS(ROW(),COLUMN()-2,4))*INDIRECT(ADDRESS(ROW(),COLUMN()-1,4))</f>
        <v>150000</v>
      </c>
    </row>
    <row r="432" spans="1:6" x14ac:dyDescent="0.3">
      <c r="A432" s="30"/>
      <c r="B432" s="30"/>
      <c r="C432" s="30"/>
      <c r="D432" s="30"/>
      <c r="E432" s="45" t="s">
        <v>52</v>
      </c>
      <c r="F432" s="46">
        <f ca="1">SUM(Table23[MONTO TOTAL ESTIMADO])</f>
        <v>150000</v>
      </c>
    </row>
    <row r="433" spans="1:6" ht="15" thickBot="1" x14ac:dyDescent="0.35">
      <c r="A433" s="30"/>
      <c r="B433" s="30"/>
      <c r="C433" s="30"/>
      <c r="D433" s="30"/>
      <c r="E433" s="30"/>
      <c r="F433" s="30"/>
    </row>
    <row r="434" spans="1:6" ht="21" thickBot="1" x14ac:dyDescent="0.35">
      <c r="A434" s="31" t="s">
        <v>19</v>
      </c>
      <c r="B434" s="31" t="s">
        <v>20</v>
      </c>
      <c r="C434" s="31" t="s">
        <v>21</v>
      </c>
      <c r="D434" s="31" t="s">
        <v>22</v>
      </c>
      <c r="E434" s="31" t="s">
        <v>23</v>
      </c>
      <c r="F434" s="31" t="s">
        <v>24</v>
      </c>
    </row>
    <row r="435" spans="1:6" ht="31.2" thickBot="1" x14ac:dyDescent="0.35">
      <c r="A435" s="12" t="s">
        <v>180</v>
      </c>
      <c r="B435" s="12" t="s">
        <v>180</v>
      </c>
      <c r="C435" s="12" t="s">
        <v>27</v>
      </c>
      <c r="D435" s="12" t="s">
        <v>28</v>
      </c>
      <c r="E435" s="12" t="s">
        <v>59</v>
      </c>
      <c r="F435" s="12" t="s">
        <v>18</v>
      </c>
    </row>
    <row r="436" spans="1:6" ht="15" thickBot="1" x14ac:dyDescent="0.35">
      <c r="A436" s="32" t="s">
        <v>30</v>
      </c>
      <c r="B436" s="33" t="s">
        <v>31</v>
      </c>
      <c r="C436" s="34">
        <v>45712</v>
      </c>
      <c r="D436" s="32" t="s">
        <v>32</v>
      </c>
      <c r="E436" s="35" t="s">
        <v>33</v>
      </c>
      <c r="F436" s="36" t="s">
        <v>34</v>
      </c>
    </row>
    <row r="437" spans="1:6" ht="15" thickBot="1" x14ac:dyDescent="0.35">
      <c r="A437" s="37"/>
      <c r="B437" s="33" t="s">
        <v>35</v>
      </c>
      <c r="C437" s="38">
        <f>IF(C436="","",IF(AND(MONTH(C436)&gt;=1,MONTH(C436)&lt;=3),1,IF(AND(MONTH(C436)&gt;=4,MONTH(C436)&lt;=6),2,IF(AND(MONTH(C436)&gt;=7,MONTH(C436)&lt;=9),3,4))))</f>
        <v>1</v>
      </c>
      <c r="D437" s="37"/>
      <c r="E437" s="35" t="s">
        <v>36</v>
      </c>
      <c r="F437" s="36" t="s">
        <v>37</v>
      </c>
    </row>
    <row r="438" spans="1:6" ht="15" thickBot="1" x14ac:dyDescent="0.35">
      <c r="A438" s="37"/>
      <c r="B438" s="33" t="s">
        <v>38</v>
      </c>
      <c r="C438" s="34">
        <v>45716</v>
      </c>
      <c r="D438" s="37"/>
      <c r="E438" s="35" t="s">
        <v>39</v>
      </c>
      <c r="F438" s="36" t="s">
        <v>37</v>
      </c>
    </row>
    <row r="439" spans="1:6" ht="15" thickBot="1" x14ac:dyDescent="0.35">
      <c r="A439" s="37"/>
      <c r="B439" s="33" t="s">
        <v>35</v>
      </c>
      <c r="C439" s="38">
        <f>IF(C438="","",IF(AND(MONTH(C438)&gt;=1,MONTH(C438)&lt;=3),1,IF(AND(MONTH(C438)&gt;=4,MONTH(C438)&lt;=6),2,IF(AND(MONTH(C438)&gt;=7,MONTH(C438)&lt;=9),3,4))))</f>
        <v>1</v>
      </c>
      <c r="D439" s="37"/>
      <c r="E439" s="35" t="s">
        <v>40</v>
      </c>
      <c r="F439" s="36"/>
    </row>
    <row r="440" spans="1:6" ht="15" thickBot="1" x14ac:dyDescent="0.35">
      <c r="A440" s="30"/>
      <c r="B440" s="30"/>
      <c r="C440" s="30"/>
      <c r="D440" s="30"/>
      <c r="E440" s="30"/>
      <c r="F440" s="30"/>
    </row>
    <row r="441" spans="1:6" ht="15" thickBot="1" x14ac:dyDescent="0.35">
      <c r="A441" s="39" t="s">
        <v>41</v>
      </c>
      <c r="B441" s="39" t="s">
        <v>42</v>
      </c>
      <c r="C441" s="39" t="s">
        <v>43</v>
      </c>
      <c r="D441" s="39" t="s">
        <v>44</v>
      </c>
      <c r="E441" s="39" t="s">
        <v>45</v>
      </c>
      <c r="F441" s="39" t="s">
        <v>46</v>
      </c>
    </row>
    <row r="442" spans="1:6" x14ac:dyDescent="0.3">
      <c r="A442" s="40" t="s">
        <v>181</v>
      </c>
      <c r="B442" s="41" t="str">
        <f ca="1">IFERROR(INDEX(UNSPSCDes,MATCH(INDIRECT(ADDRESS(ROW(),COLUMN()-1,4)),UNSPSCCode,0)),IF(INDIRECT(ADDRESS(ROW(),COLUMN()-1,4))="43222817","Repetidores de telecomunicaciones",""))</f>
        <v>Repetidores de telecomunicaciones</v>
      </c>
      <c r="C442" s="42" t="str">
        <f>IFERROR(VLOOKUP("UD",'[1]Informacion '!P:Q,2,FALSE),"")</f>
        <v>Unidad</v>
      </c>
      <c r="D442" s="40">
        <v>1</v>
      </c>
      <c r="E442" s="43">
        <v>50000</v>
      </c>
      <c r="F442" s="44">
        <f t="shared" ref="F442:F449" ca="1" si="11">INDIRECT(ADDRESS(ROW(),COLUMN()-2,4))*INDIRECT(ADDRESS(ROW(),COLUMN()-1,4))</f>
        <v>50000</v>
      </c>
    </row>
    <row r="443" spans="1:6" x14ac:dyDescent="0.3">
      <c r="A443" s="40" t="s">
        <v>182</v>
      </c>
      <c r="B443" s="41" t="str">
        <f ca="1">IFERROR(INDEX(UNSPSCDes,MATCH(INDIRECT(ADDRESS(ROW(),COLUMN()-1,4)),UNSPSCCode,0)),IF(INDIRECT(ADDRESS(ROW(),COLUMN()-1,4))="43221715","Antenas de onda corta",""))</f>
        <v>Antenas de onda corta</v>
      </c>
      <c r="C443" s="42" t="str">
        <f>IFERROR(VLOOKUP("UD",'[1]Informacion '!P:Q,2,FALSE),"")</f>
        <v>Unidad</v>
      </c>
      <c r="D443" s="40">
        <v>1</v>
      </c>
      <c r="E443" s="43">
        <v>25000</v>
      </c>
      <c r="F443" s="44">
        <f t="shared" ca="1" si="11"/>
        <v>25000</v>
      </c>
    </row>
    <row r="444" spans="1:6" x14ac:dyDescent="0.3">
      <c r="A444" s="40" t="s">
        <v>183</v>
      </c>
      <c r="B444" s="41" t="str">
        <f ca="1">IFERROR(INDEX(UNSPSCDes,MATCH(INDIRECT(ADDRESS(ROW(),COLUMN()-1,4)),UNSPSCCode,0)),IF(INDIRECT(ADDRESS(ROW(),COLUMN()-1,4))="39121414","Conectores coaxiales",""))</f>
        <v>Conectores coaxiales</v>
      </c>
      <c r="C444" s="42" t="str">
        <f>IFERROR(VLOOKUP("UD",'[1]Informacion '!P:Q,2,FALSE),"")</f>
        <v>Unidad</v>
      </c>
      <c r="D444" s="40">
        <v>2</v>
      </c>
      <c r="E444" s="43">
        <v>4000</v>
      </c>
      <c r="F444" s="44">
        <f t="shared" ca="1" si="11"/>
        <v>8000</v>
      </c>
    </row>
    <row r="445" spans="1:6" x14ac:dyDescent="0.3">
      <c r="A445" s="40" t="s">
        <v>184</v>
      </c>
      <c r="B445" s="41" t="str">
        <f ca="1">IFERROR(INDEX(UNSPSCDes,MATCH(INDIRECT(ADDRESS(ROW(),COLUMN()-1,4)),UNSPSCCode,0)),IF(INDIRECT(ADDRESS(ROW(),COLUMN()-1,4))="26111707","Baterías de plomo-ácido",""))</f>
        <v>Baterías de plomo-ácido</v>
      </c>
      <c r="C445" s="42" t="str">
        <f>IFERROR(VLOOKUP("UD",'[1]Informacion '!P:Q,2,FALSE),"")</f>
        <v>Unidad</v>
      </c>
      <c r="D445" s="40">
        <v>1</v>
      </c>
      <c r="E445" s="43">
        <v>33800</v>
      </c>
      <c r="F445" s="44">
        <f t="shared" ca="1" si="11"/>
        <v>33800</v>
      </c>
    </row>
    <row r="446" spans="1:6" x14ac:dyDescent="0.3">
      <c r="A446" s="40" t="s">
        <v>185</v>
      </c>
      <c r="B446" s="41" t="str">
        <f ca="1">IFERROR(INDEX(UNSPSCDes,MATCH(INDIRECT(ADDRESS(ROW(),COLUMN()-1,4)),UNSPSCCode,0)),IF(INDIRECT(ADDRESS(ROW(),COLUMN()-1,4))="26111704","Cargadores de baterías",""))</f>
        <v>Cargadores de baterías</v>
      </c>
      <c r="C446" s="42" t="str">
        <f>IFERROR(VLOOKUP("UD",'[1]Informacion '!P:Q,2,FALSE),"")</f>
        <v>Unidad</v>
      </c>
      <c r="D446" s="40">
        <v>1</v>
      </c>
      <c r="E446" s="43">
        <v>10500</v>
      </c>
      <c r="F446" s="44">
        <f t="shared" ca="1" si="11"/>
        <v>10500</v>
      </c>
    </row>
    <row r="447" spans="1:6" x14ac:dyDescent="0.3">
      <c r="A447" s="40" t="s">
        <v>186</v>
      </c>
      <c r="B447" s="41" t="str">
        <f ca="1">IFERROR(INDEX(UNSPSCDes,MATCH(INDIRECT(ADDRESS(ROW(),COLUMN()-1,4)),UNSPSCCode,0)),IF(INDIRECT(ADDRESS(ROW(),COLUMN()-1,4))="26121630","Accesorios de cable",""))</f>
        <v>Accesorios de cable</v>
      </c>
      <c r="C447" s="42" t="str">
        <f>IFERROR(VLOOKUP("UD",'[1]Informacion '!P:Q,2,FALSE),"")</f>
        <v>Unidad</v>
      </c>
      <c r="D447" s="40">
        <v>1</v>
      </c>
      <c r="E447" s="43">
        <v>20000</v>
      </c>
      <c r="F447" s="44">
        <f t="shared" ca="1" si="11"/>
        <v>20000</v>
      </c>
    </row>
    <row r="448" spans="1:6" ht="20.399999999999999" x14ac:dyDescent="0.3">
      <c r="A448" s="40" t="s">
        <v>187</v>
      </c>
      <c r="B448" s="41" t="str">
        <f ca="1">IFERROR(INDEX(UNSPSCDes,MATCH(INDIRECT(ADDRESS(ROW(),COLUMN()-1,4)),UNSPSCCode,0)),IF(INDIRECT(ADDRESS(ROW(),COLUMN()-1,4))="26121633","Cable de telecomunicaciones exterior de planta",""))</f>
        <v>Cable de telecomunicaciones exterior de planta</v>
      </c>
      <c r="C448" s="42" t="str">
        <f>IFERROR(VLOOKUP("FT",'[1]Informacion '!P:Q,2,FALSE),"")</f>
        <v>Pie</v>
      </c>
      <c r="D448" s="40">
        <v>150</v>
      </c>
      <c r="E448" s="43">
        <v>500</v>
      </c>
      <c r="F448" s="44">
        <f t="shared" ca="1" si="11"/>
        <v>75000</v>
      </c>
    </row>
    <row r="449" spans="1:6" ht="20.399999999999999" x14ac:dyDescent="0.3">
      <c r="A449" s="40" t="s">
        <v>188</v>
      </c>
      <c r="B449" s="41" t="str">
        <f ca="1">IFERROR(INDEX(UNSPSCDes,MATCH(INDIRECT(ADDRESS(ROW(),COLUMN()-1,4)),UNSPSCCode,0)),IF(INDIRECT(ADDRESS(ROW(),COLUMN()-1,4))="72102205","Asistencia o mantenimiento de servicio de telecomunicaciones",""))</f>
        <v>Asistencia o mantenimiento de servicio de telecomunicaciones</v>
      </c>
      <c r="C449" s="42" t="str">
        <f>IFERROR(VLOOKUP("UD",'[1]Informacion '!P:Q,2,FALSE),"")</f>
        <v>Unidad</v>
      </c>
      <c r="D449" s="40">
        <v>1</v>
      </c>
      <c r="E449" s="43">
        <v>65000</v>
      </c>
      <c r="F449" s="44">
        <f t="shared" ca="1" si="11"/>
        <v>65000</v>
      </c>
    </row>
    <row r="450" spans="1:6" x14ac:dyDescent="0.3">
      <c r="A450" s="30"/>
      <c r="B450" s="30"/>
      <c r="C450" s="30"/>
      <c r="D450" s="30"/>
      <c r="E450" s="45" t="s">
        <v>52</v>
      </c>
      <c r="F450" s="46">
        <f ca="1">SUM(Table24[MONTO TOTAL ESTIMADO])</f>
        <v>287300</v>
      </c>
    </row>
    <row r="451" spans="1:6" ht="15" thickBot="1" x14ac:dyDescent="0.35">
      <c r="A451" s="30"/>
      <c r="B451" s="30"/>
      <c r="C451" s="30"/>
      <c r="D451" s="30"/>
      <c r="E451" s="30"/>
      <c r="F451" s="30"/>
    </row>
    <row r="452" spans="1:6" ht="21" thickBot="1" x14ac:dyDescent="0.35">
      <c r="A452" s="31" t="s">
        <v>19</v>
      </c>
      <c r="B452" s="31" t="s">
        <v>20</v>
      </c>
      <c r="C452" s="31" t="s">
        <v>21</v>
      </c>
      <c r="D452" s="31" t="s">
        <v>22</v>
      </c>
      <c r="E452" s="31" t="s">
        <v>23</v>
      </c>
      <c r="F452" s="31" t="s">
        <v>24</v>
      </c>
    </row>
    <row r="453" spans="1:6" ht="31.2" thickBot="1" x14ac:dyDescent="0.35">
      <c r="A453" s="12" t="s">
        <v>189</v>
      </c>
      <c r="B453" s="12" t="s">
        <v>189</v>
      </c>
      <c r="C453" s="12" t="s">
        <v>143</v>
      </c>
      <c r="D453" s="12" t="s">
        <v>80</v>
      </c>
      <c r="E453" s="12" t="s">
        <v>59</v>
      </c>
      <c r="F453" s="12"/>
    </row>
    <row r="454" spans="1:6" ht="15" thickBot="1" x14ac:dyDescent="0.35">
      <c r="A454" s="32" t="s">
        <v>30</v>
      </c>
      <c r="B454" s="33" t="s">
        <v>31</v>
      </c>
      <c r="C454" s="34">
        <v>45712</v>
      </c>
      <c r="D454" s="32" t="s">
        <v>32</v>
      </c>
      <c r="E454" s="35" t="s">
        <v>33</v>
      </c>
      <c r="F454" s="36" t="s">
        <v>34</v>
      </c>
    </row>
    <row r="455" spans="1:6" ht="15" thickBot="1" x14ac:dyDescent="0.35">
      <c r="A455" s="37"/>
      <c r="B455" s="33" t="s">
        <v>35</v>
      </c>
      <c r="C455" s="38">
        <f>IF(C454="","",IF(AND(MONTH(C454)&gt;=1,MONTH(C454)&lt;=3),1,IF(AND(MONTH(C454)&gt;=4,MONTH(C454)&lt;=6),2,IF(AND(MONTH(C454)&gt;=7,MONTH(C454)&lt;=9),3,4))))</f>
        <v>1</v>
      </c>
      <c r="D455" s="37"/>
      <c r="E455" s="35" t="s">
        <v>36</v>
      </c>
      <c r="F455" s="36" t="s">
        <v>37</v>
      </c>
    </row>
    <row r="456" spans="1:6" ht="15" thickBot="1" x14ac:dyDescent="0.35">
      <c r="A456" s="37"/>
      <c r="B456" s="33" t="s">
        <v>38</v>
      </c>
      <c r="C456" s="34">
        <v>45714</v>
      </c>
      <c r="D456" s="37"/>
      <c r="E456" s="35" t="s">
        <v>39</v>
      </c>
      <c r="F456" s="36" t="s">
        <v>37</v>
      </c>
    </row>
    <row r="457" spans="1:6" ht="15" thickBot="1" x14ac:dyDescent="0.35">
      <c r="A457" s="37"/>
      <c r="B457" s="33" t="s">
        <v>35</v>
      </c>
      <c r="C457" s="38">
        <f>IF(C456="","",IF(AND(MONTH(C456)&gt;=1,MONTH(C456)&lt;=3),1,IF(AND(MONTH(C456)&gt;=4,MONTH(C456)&lt;=6),2,IF(AND(MONTH(C456)&gt;=7,MONTH(C456)&lt;=9),3,4))))</f>
        <v>1</v>
      </c>
      <c r="D457" s="37"/>
      <c r="E457" s="35" t="s">
        <v>40</v>
      </c>
      <c r="F457" s="36"/>
    </row>
    <row r="458" spans="1:6" ht="15" thickBot="1" x14ac:dyDescent="0.35">
      <c r="A458" s="30"/>
      <c r="B458" s="30"/>
      <c r="C458" s="30"/>
      <c r="D458" s="30"/>
      <c r="E458" s="30"/>
      <c r="F458" s="30"/>
    </row>
    <row r="459" spans="1:6" ht="15" thickBot="1" x14ac:dyDescent="0.35">
      <c r="A459" s="39" t="s">
        <v>41</v>
      </c>
      <c r="B459" s="39" t="s">
        <v>42</v>
      </c>
      <c r="C459" s="39" t="s">
        <v>43</v>
      </c>
      <c r="D459" s="39" t="s">
        <v>44</v>
      </c>
      <c r="E459" s="39" t="s">
        <v>45</v>
      </c>
      <c r="F459" s="39" t="s">
        <v>46</v>
      </c>
    </row>
    <row r="460" spans="1:6" x14ac:dyDescent="0.3">
      <c r="A460" s="40" t="s">
        <v>190</v>
      </c>
      <c r="B460" s="41" t="str">
        <f ca="1">IFERROR(INDEX(UNSPSCDes,MATCH(INDIRECT(ADDRESS(ROW(),COLUMN()-1,4)),UNSPSCCode,0)),IF(INDIRECT(ADDRESS(ROW(),COLUMN()-1,4))="73181008","Servicios de perforación",""))</f>
        <v>Servicios de perforación</v>
      </c>
      <c r="C460" s="42" t="str">
        <f>IFERROR(VLOOKUP("UD",'[1]Informacion '!P:Q,2,FALSE),"")</f>
        <v>Unidad</v>
      </c>
      <c r="D460" s="40">
        <v>1</v>
      </c>
      <c r="E460" s="43">
        <v>200000</v>
      </c>
      <c r="F460" s="44">
        <f ca="1">INDIRECT(ADDRESS(ROW(),COLUMN()-2,4))*INDIRECT(ADDRESS(ROW(),COLUMN()-1,4))</f>
        <v>200000</v>
      </c>
    </row>
    <row r="461" spans="1:6" x14ac:dyDescent="0.3">
      <c r="A461" s="30"/>
      <c r="B461" s="30"/>
      <c r="C461" s="30"/>
      <c r="D461" s="30"/>
      <c r="E461" s="45" t="s">
        <v>52</v>
      </c>
      <c r="F461" s="46">
        <f ca="1">SUM(Table25[MONTO TOTAL ESTIMADO])</f>
        <v>200000</v>
      </c>
    </row>
    <row r="462" spans="1:6" ht="15" thickBot="1" x14ac:dyDescent="0.35">
      <c r="A462" s="30"/>
      <c r="B462" s="30"/>
      <c r="C462" s="30"/>
      <c r="D462" s="30"/>
      <c r="E462" s="30"/>
      <c r="F462" s="30"/>
    </row>
    <row r="463" spans="1:6" ht="21" thickBot="1" x14ac:dyDescent="0.35">
      <c r="A463" s="31" t="s">
        <v>19</v>
      </c>
      <c r="B463" s="31" t="s">
        <v>20</v>
      </c>
      <c r="C463" s="31" t="s">
        <v>21</v>
      </c>
      <c r="D463" s="31" t="s">
        <v>22</v>
      </c>
      <c r="E463" s="31" t="s">
        <v>23</v>
      </c>
      <c r="F463" s="31" t="s">
        <v>24</v>
      </c>
    </row>
    <row r="464" spans="1:6" ht="21" thickBot="1" x14ac:dyDescent="0.35">
      <c r="A464" s="12" t="s">
        <v>191</v>
      </c>
      <c r="B464" s="12" t="s">
        <v>191</v>
      </c>
      <c r="C464" s="12" t="s">
        <v>143</v>
      </c>
      <c r="D464" s="12" t="s">
        <v>28</v>
      </c>
      <c r="E464" s="12" t="s">
        <v>59</v>
      </c>
      <c r="F464" s="12" t="s">
        <v>18</v>
      </c>
    </row>
    <row r="465" spans="1:6" ht="15" thickBot="1" x14ac:dyDescent="0.35">
      <c r="A465" s="32" t="s">
        <v>30</v>
      </c>
      <c r="B465" s="33" t="s">
        <v>31</v>
      </c>
      <c r="C465" s="34">
        <v>45712</v>
      </c>
      <c r="D465" s="32" t="s">
        <v>32</v>
      </c>
      <c r="E465" s="35" t="s">
        <v>33</v>
      </c>
      <c r="F465" s="36" t="s">
        <v>34</v>
      </c>
    </row>
    <row r="466" spans="1:6" ht="15" thickBot="1" x14ac:dyDescent="0.35">
      <c r="A466" s="37"/>
      <c r="B466" s="33" t="s">
        <v>35</v>
      </c>
      <c r="C466" s="38">
        <f>IF(C465="","",IF(AND(MONTH(C465)&gt;=1,MONTH(C465)&lt;=3),1,IF(AND(MONTH(C465)&gt;=4,MONTH(C465)&lt;=6),2,IF(AND(MONTH(C465)&gt;=7,MONTH(C465)&lt;=9),3,4))))</f>
        <v>1</v>
      </c>
      <c r="D466" s="37"/>
      <c r="E466" s="35" t="s">
        <v>36</v>
      </c>
      <c r="F466" s="36" t="s">
        <v>37</v>
      </c>
    </row>
    <row r="467" spans="1:6" ht="15" thickBot="1" x14ac:dyDescent="0.35">
      <c r="A467" s="37"/>
      <c r="B467" s="33" t="s">
        <v>38</v>
      </c>
      <c r="C467" s="34">
        <v>45716</v>
      </c>
      <c r="D467" s="37"/>
      <c r="E467" s="35" t="s">
        <v>39</v>
      </c>
      <c r="F467" s="36" t="s">
        <v>37</v>
      </c>
    </row>
    <row r="468" spans="1:6" ht="15" thickBot="1" x14ac:dyDescent="0.35">
      <c r="A468" s="37"/>
      <c r="B468" s="33" t="s">
        <v>35</v>
      </c>
      <c r="C468" s="38">
        <f>IF(C467="","",IF(AND(MONTH(C467)&gt;=1,MONTH(C467)&lt;=3),1,IF(AND(MONTH(C467)&gt;=4,MONTH(C467)&lt;=6),2,IF(AND(MONTH(C467)&gt;=7,MONTH(C467)&lt;=9),3,4))))</f>
        <v>1</v>
      </c>
      <c r="D468" s="37"/>
      <c r="E468" s="35" t="s">
        <v>40</v>
      </c>
      <c r="F468" s="36"/>
    </row>
    <row r="469" spans="1:6" ht="15" thickBot="1" x14ac:dyDescent="0.35">
      <c r="A469" s="30"/>
      <c r="B469" s="30"/>
      <c r="C469" s="30"/>
      <c r="D469" s="30"/>
      <c r="E469" s="30"/>
      <c r="F469" s="30"/>
    </row>
    <row r="470" spans="1:6" ht="15" thickBot="1" x14ac:dyDescent="0.35">
      <c r="A470" s="39" t="s">
        <v>41</v>
      </c>
      <c r="B470" s="39" t="s">
        <v>42</v>
      </c>
      <c r="C470" s="39" t="s">
        <v>43</v>
      </c>
      <c r="D470" s="39" t="s">
        <v>44</v>
      </c>
      <c r="E470" s="39" t="s">
        <v>45</v>
      </c>
      <c r="F470" s="39" t="s">
        <v>46</v>
      </c>
    </row>
    <row r="471" spans="1:6" ht="30.6" x14ac:dyDescent="0.3">
      <c r="A471" s="40" t="s">
        <v>192</v>
      </c>
      <c r="B471" s="41" t="str">
        <f ca="1">IFERROR(INDEX(UNSPSCDes,MATCH(INDIRECT(ADDRESS(ROW(),COLUMN()-1,4)),UNSPSCCode,0)),IF(INDIRECT(ADDRESS(ROW(),COLUMN()-1,4))="42201712","Unidades de ultrasonido o doppler o eco pulso o ecografía de diagnóstico general para uso médico",""))</f>
        <v>Unidades de ultrasonido o doppler o eco pulso o ecografía de diagnóstico general para uso médico</v>
      </c>
      <c r="C471" s="42" t="str">
        <f>IFERROR(VLOOKUP("UD",'[1]Informacion '!P:Q,2,FALSE),"")</f>
        <v>Unidad</v>
      </c>
      <c r="D471" s="40">
        <v>1</v>
      </c>
      <c r="E471" s="43">
        <v>1000000</v>
      </c>
      <c r="F471" s="44">
        <f ca="1">INDIRECT(ADDRESS(ROW(),COLUMN()-2,4))*INDIRECT(ADDRESS(ROW(),COLUMN()-1,4))</f>
        <v>1000000</v>
      </c>
    </row>
    <row r="472" spans="1:6" x14ac:dyDescent="0.3">
      <c r="A472" s="30"/>
      <c r="B472" s="30"/>
      <c r="C472" s="30"/>
      <c r="D472" s="30"/>
      <c r="E472" s="45" t="s">
        <v>52</v>
      </c>
      <c r="F472" s="46">
        <f ca="1">SUM(Table26[MONTO TOTAL ESTIMADO])</f>
        <v>1000000</v>
      </c>
    </row>
    <row r="473" spans="1:6" ht="15" thickBot="1" x14ac:dyDescent="0.35">
      <c r="A473" s="30"/>
      <c r="B473" s="30"/>
      <c r="C473" s="30"/>
      <c r="D473" s="30"/>
      <c r="E473" s="30"/>
      <c r="F473" s="30"/>
    </row>
    <row r="474" spans="1:6" ht="21" thickBot="1" x14ac:dyDescent="0.35">
      <c r="A474" s="31" t="s">
        <v>19</v>
      </c>
      <c r="B474" s="31" t="s">
        <v>20</v>
      </c>
      <c r="C474" s="31" t="s">
        <v>21</v>
      </c>
      <c r="D474" s="31" t="s">
        <v>22</v>
      </c>
      <c r="E474" s="31" t="s">
        <v>23</v>
      </c>
      <c r="F474" s="31" t="s">
        <v>24</v>
      </c>
    </row>
    <row r="475" spans="1:6" ht="21" thickBot="1" x14ac:dyDescent="0.35">
      <c r="A475" s="12" t="s">
        <v>193</v>
      </c>
      <c r="B475" s="12" t="s">
        <v>193</v>
      </c>
      <c r="C475" s="12" t="s">
        <v>143</v>
      </c>
      <c r="D475" s="12" t="s">
        <v>28</v>
      </c>
      <c r="E475" s="12" t="s">
        <v>59</v>
      </c>
      <c r="F475" s="12" t="s">
        <v>18</v>
      </c>
    </row>
    <row r="476" spans="1:6" ht="15" thickBot="1" x14ac:dyDescent="0.35">
      <c r="A476" s="32" t="s">
        <v>30</v>
      </c>
      <c r="B476" s="33" t="s">
        <v>31</v>
      </c>
      <c r="C476" s="34">
        <v>45712</v>
      </c>
      <c r="D476" s="32" t="s">
        <v>32</v>
      </c>
      <c r="E476" s="35" t="s">
        <v>33</v>
      </c>
      <c r="F476" s="36" t="s">
        <v>34</v>
      </c>
    </row>
    <row r="477" spans="1:6" ht="15" thickBot="1" x14ac:dyDescent="0.35">
      <c r="A477" s="37"/>
      <c r="B477" s="33" t="s">
        <v>35</v>
      </c>
      <c r="C477" s="38">
        <f>IF(C476="","",IF(AND(MONTH(C476)&gt;=1,MONTH(C476)&lt;=3),1,IF(AND(MONTH(C476)&gt;=4,MONTH(C476)&lt;=6),2,IF(AND(MONTH(C476)&gt;=7,MONTH(C476)&lt;=9),3,4))))</f>
        <v>1</v>
      </c>
      <c r="D477" s="37"/>
      <c r="E477" s="35" t="s">
        <v>36</v>
      </c>
      <c r="F477" s="36" t="s">
        <v>37</v>
      </c>
    </row>
    <row r="478" spans="1:6" ht="15" thickBot="1" x14ac:dyDescent="0.35">
      <c r="A478" s="37"/>
      <c r="B478" s="33" t="s">
        <v>38</v>
      </c>
      <c r="C478" s="34">
        <v>45716</v>
      </c>
      <c r="D478" s="37"/>
      <c r="E478" s="35" t="s">
        <v>39</v>
      </c>
      <c r="F478" s="36" t="s">
        <v>37</v>
      </c>
    </row>
    <row r="479" spans="1:6" ht="15" thickBot="1" x14ac:dyDescent="0.35">
      <c r="A479" s="37"/>
      <c r="B479" s="33" t="s">
        <v>35</v>
      </c>
      <c r="C479" s="38">
        <f>IF(C478="","",IF(AND(MONTH(C478)&gt;=1,MONTH(C478)&lt;=3),1,IF(AND(MONTH(C478)&gt;=4,MONTH(C478)&lt;=6),2,IF(AND(MONTH(C478)&gt;=7,MONTH(C478)&lt;=9),3,4))))</f>
        <v>1</v>
      </c>
      <c r="D479" s="37"/>
      <c r="E479" s="35" t="s">
        <v>40</v>
      </c>
      <c r="F479" s="36"/>
    </row>
    <row r="480" spans="1:6" ht="15" thickBot="1" x14ac:dyDescent="0.35">
      <c r="A480" s="30"/>
      <c r="B480" s="30"/>
      <c r="C480" s="30"/>
      <c r="D480" s="30"/>
      <c r="E480" s="30"/>
      <c r="F480" s="30"/>
    </row>
    <row r="481" spans="1:6" ht="15" thickBot="1" x14ac:dyDescent="0.35">
      <c r="A481" s="39" t="s">
        <v>41</v>
      </c>
      <c r="B481" s="39" t="s">
        <v>42</v>
      </c>
      <c r="C481" s="39" t="s">
        <v>43</v>
      </c>
      <c r="D481" s="39" t="s">
        <v>44</v>
      </c>
      <c r="E481" s="39" t="s">
        <v>45</v>
      </c>
      <c r="F481" s="39" t="s">
        <v>46</v>
      </c>
    </row>
    <row r="482" spans="1:6" ht="20.399999999999999" x14ac:dyDescent="0.3">
      <c r="A482" s="40" t="s">
        <v>194</v>
      </c>
      <c r="B482" s="41" t="str">
        <f ca="1">IFERROR(INDEX(UNSPSCDes,MATCH(INDIRECT(ADDRESS(ROW(),COLUMN()-1,4)),UNSPSCCode,0)),IF(INDIRECT(ADDRESS(ROW(),COLUMN()-1,4))="76101503","Servicios de desinfección o desodorización",""))</f>
        <v>Servicios de desinfección o desodorización</v>
      </c>
      <c r="C482" s="42" t="str">
        <f>IFERROR(VLOOKUP("UD",'[1]Informacion '!P:Q,2,FALSE),"")</f>
        <v>Unidad</v>
      </c>
      <c r="D482" s="40">
        <v>1</v>
      </c>
      <c r="E482" s="43">
        <v>200000</v>
      </c>
      <c r="F482" s="44">
        <f ca="1">INDIRECT(ADDRESS(ROW(),COLUMN()-2,4))*INDIRECT(ADDRESS(ROW(),COLUMN()-1,4))</f>
        <v>200000</v>
      </c>
    </row>
    <row r="483" spans="1:6" x14ac:dyDescent="0.3">
      <c r="A483" s="40" t="s">
        <v>195</v>
      </c>
      <c r="B483" s="41" t="str">
        <f ca="1">IFERROR(INDEX(UNSPSCDes,MATCH(INDIRECT(ADDRESS(ROW(),COLUMN()-1,4)),UNSPSCCode,0)),IF(INDIRECT(ADDRESS(ROW(),COLUMN()-1,4))="14121701","Papeles adheridos con película",""))</f>
        <v>Papeles adheridos con película</v>
      </c>
      <c r="C483" s="42" t="str">
        <f>IFERROR(VLOOKUP("UD",'[1]Informacion '!P:Q,2,FALSE),"")</f>
        <v>Unidad</v>
      </c>
      <c r="D483" s="40">
        <v>10</v>
      </c>
      <c r="E483" s="43">
        <v>5500</v>
      </c>
      <c r="F483" s="44">
        <f ca="1">INDIRECT(ADDRESS(ROW(),COLUMN()-2,4))*INDIRECT(ADDRESS(ROW(),COLUMN()-1,4))</f>
        <v>55000</v>
      </c>
    </row>
    <row r="484" spans="1:6" x14ac:dyDescent="0.3">
      <c r="A484" s="30"/>
      <c r="B484" s="30"/>
      <c r="C484" s="30"/>
      <c r="D484" s="30"/>
      <c r="E484" s="45" t="s">
        <v>52</v>
      </c>
      <c r="F484" s="46">
        <f ca="1">SUM(Table27[MONTO TOTAL ESTIMADO])</f>
        <v>255000</v>
      </c>
    </row>
    <row r="485" spans="1:6" ht="15" thickBot="1" x14ac:dyDescent="0.35">
      <c r="A485" s="30"/>
      <c r="B485" s="30"/>
      <c r="C485" s="30"/>
      <c r="D485" s="30"/>
      <c r="E485" s="30"/>
      <c r="F485" s="30"/>
    </row>
    <row r="486" spans="1:6" ht="21" thickBot="1" x14ac:dyDescent="0.35">
      <c r="A486" s="31" t="s">
        <v>19</v>
      </c>
      <c r="B486" s="31" t="s">
        <v>20</v>
      </c>
      <c r="C486" s="31" t="s">
        <v>21</v>
      </c>
      <c r="D486" s="31" t="s">
        <v>22</v>
      </c>
      <c r="E486" s="31" t="s">
        <v>23</v>
      </c>
      <c r="F486" s="31" t="s">
        <v>24</v>
      </c>
    </row>
    <row r="487" spans="1:6" ht="21" thickBot="1" x14ac:dyDescent="0.35">
      <c r="A487" s="12" t="s">
        <v>196</v>
      </c>
      <c r="B487" s="12" t="s">
        <v>197</v>
      </c>
      <c r="C487" s="12" t="s">
        <v>143</v>
      </c>
      <c r="D487" s="12" t="s">
        <v>80</v>
      </c>
      <c r="E487" s="12" t="s">
        <v>59</v>
      </c>
      <c r="F487" s="12"/>
    </row>
    <row r="488" spans="1:6" ht="15" thickBot="1" x14ac:dyDescent="0.35">
      <c r="A488" s="32" t="s">
        <v>30</v>
      </c>
      <c r="B488" s="33" t="s">
        <v>31</v>
      </c>
      <c r="C488" s="34">
        <v>45671</v>
      </c>
      <c r="D488" s="32" t="s">
        <v>32</v>
      </c>
      <c r="E488" s="35" t="s">
        <v>33</v>
      </c>
      <c r="F488" s="36" t="s">
        <v>34</v>
      </c>
    </row>
    <row r="489" spans="1:6" ht="15" thickBot="1" x14ac:dyDescent="0.35">
      <c r="A489" s="37"/>
      <c r="B489" s="33" t="s">
        <v>35</v>
      </c>
      <c r="C489" s="38">
        <f>IF(C488="","",IF(AND(MONTH(C488)&gt;=1,MONTH(C488)&lt;=3),1,IF(AND(MONTH(C488)&gt;=4,MONTH(C488)&lt;=6),2,IF(AND(MONTH(C488)&gt;=7,MONTH(C488)&lt;=9),3,4))))</f>
        <v>1</v>
      </c>
      <c r="D489" s="37"/>
      <c r="E489" s="35" t="s">
        <v>36</v>
      </c>
      <c r="F489" s="36" t="s">
        <v>37</v>
      </c>
    </row>
    <row r="490" spans="1:6" ht="15" thickBot="1" x14ac:dyDescent="0.35">
      <c r="A490" s="37"/>
      <c r="B490" s="33" t="s">
        <v>38</v>
      </c>
      <c r="C490" s="34">
        <v>45673</v>
      </c>
      <c r="D490" s="37"/>
      <c r="E490" s="35" t="s">
        <v>39</v>
      </c>
      <c r="F490" s="36" t="s">
        <v>37</v>
      </c>
    </row>
    <row r="491" spans="1:6" ht="15" thickBot="1" x14ac:dyDescent="0.35">
      <c r="A491" s="37"/>
      <c r="B491" s="33" t="s">
        <v>35</v>
      </c>
      <c r="C491" s="38">
        <f>IF(C490="","",IF(AND(MONTH(C490)&gt;=1,MONTH(C490)&lt;=3),1,IF(AND(MONTH(C490)&gt;=4,MONTH(C490)&lt;=6),2,IF(AND(MONTH(C490)&gt;=7,MONTH(C490)&lt;=9),3,4))))</f>
        <v>1</v>
      </c>
      <c r="D491" s="37"/>
      <c r="E491" s="35" t="s">
        <v>40</v>
      </c>
      <c r="F491" s="36"/>
    </row>
    <row r="492" spans="1:6" ht="15" thickBot="1" x14ac:dyDescent="0.35">
      <c r="A492" s="30"/>
      <c r="B492" s="30"/>
      <c r="C492" s="30"/>
      <c r="D492" s="30"/>
      <c r="E492" s="30"/>
      <c r="F492" s="30"/>
    </row>
    <row r="493" spans="1:6" ht="15" thickBot="1" x14ac:dyDescent="0.35">
      <c r="A493" s="39" t="s">
        <v>41</v>
      </c>
      <c r="B493" s="39" t="s">
        <v>42</v>
      </c>
      <c r="C493" s="39" t="s">
        <v>43</v>
      </c>
      <c r="D493" s="39" t="s">
        <v>44</v>
      </c>
      <c r="E493" s="39" t="s">
        <v>45</v>
      </c>
      <c r="F493" s="39" t="s">
        <v>46</v>
      </c>
    </row>
    <row r="494" spans="1:6" ht="30.6" x14ac:dyDescent="0.3">
      <c r="A494" s="40" t="s">
        <v>198</v>
      </c>
      <c r="B494" s="41" t="str">
        <f t="shared" ref="B494:B500" ca="1" si="12">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494" s="42" t="str">
        <f>IFERROR(VLOOKUP("UD",'[1]Informacion '!P:Q,2,FALSE),"")</f>
        <v>Unidad</v>
      </c>
      <c r="D494" s="40">
        <v>33</v>
      </c>
      <c r="E494" s="43">
        <v>1000</v>
      </c>
      <c r="F494" s="44">
        <f t="shared" ref="F494:F500" ca="1" si="13">INDIRECT(ADDRESS(ROW(),COLUMN()-2,4))*INDIRECT(ADDRESS(ROW(),COLUMN()-1,4))</f>
        <v>33000</v>
      </c>
    </row>
    <row r="495" spans="1:6" ht="30.6" x14ac:dyDescent="0.3">
      <c r="A495" s="40" t="s">
        <v>198</v>
      </c>
      <c r="B495" s="41" t="str">
        <f t="shared" ca="1" si="12"/>
        <v>Servicio de mantenimiento o reparación de equipos y sistemas de protección contra incendios</v>
      </c>
      <c r="C495" s="42" t="str">
        <f>IFERROR(VLOOKUP("UD",'[1]Informacion '!P:Q,2,FALSE),"")</f>
        <v>Unidad</v>
      </c>
      <c r="D495" s="40">
        <v>7</v>
      </c>
      <c r="E495" s="43">
        <v>800</v>
      </c>
      <c r="F495" s="44">
        <f t="shared" ca="1" si="13"/>
        <v>5600</v>
      </c>
    </row>
    <row r="496" spans="1:6" ht="30.6" x14ac:dyDescent="0.3">
      <c r="A496" s="40" t="s">
        <v>198</v>
      </c>
      <c r="B496" s="41" t="str">
        <f t="shared" ca="1" si="12"/>
        <v>Servicio de mantenimiento o reparación de equipos y sistemas de protección contra incendios</v>
      </c>
      <c r="C496" s="42" t="str">
        <f>IFERROR(VLOOKUP("UD",'[1]Informacion '!P:Q,2,FALSE),"")</f>
        <v>Unidad</v>
      </c>
      <c r="D496" s="40">
        <v>4</v>
      </c>
      <c r="E496" s="43">
        <v>650</v>
      </c>
      <c r="F496" s="44">
        <f t="shared" ca="1" si="13"/>
        <v>2600</v>
      </c>
    </row>
    <row r="497" spans="1:6" ht="30.6" x14ac:dyDescent="0.3">
      <c r="A497" s="40" t="s">
        <v>198</v>
      </c>
      <c r="B497" s="41" t="str">
        <f t="shared" ca="1" si="12"/>
        <v>Servicio de mantenimiento o reparación de equipos y sistemas de protección contra incendios</v>
      </c>
      <c r="C497" s="42" t="str">
        <f>IFERROR(VLOOKUP("UD",'[1]Informacion '!P:Q,2,FALSE),"")</f>
        <v>Unidad</v>
      </c>
      <c r="D497" s="40">
        <v>3</v>
      </c>
      <c r="E497" s="43">
        <v>1800</v>
      </c>
      <c r="F497" s="44">
        <f t="shared" ca="1" si="13"/>
        <v>5400</v>
      </c>
    </row>
    <row r="498" spans="1:6" ht="30.6" x14ac:dyDescent="0.3">
      <c r="A498" s="40" t="s">
        <v>198</v>
      </c>
      <c r="B498" s="41" t="str">
        <f t="shared" ca="1" si="12"/>
        <v>Servicio de mantenimiento o reparación de equipos y sistemas de protección contra incendios</v>
      </c>
      <c r="C498" s="42" t="str">
        <f>IFERROR(VLOOKUP("UD",'[1]Informacion '!P:Q,2,FALSE),"")</f>
        <v>Unidad</v>
      </c>
      <c r="D498" s="40">
        <v>2</v>
      </c>
      <c r="E498" s="43">
        <v>1500</v>
      </c>
      <c r="F498" s="44">
        <f t="shared" ca="1" si="13"/>
        <v>3000</v>
      </c>
    </row>
    <row r="499" spans="1:6" ht="30.6" x14ac:dyDescent="0.3">
      <c r="A499" s="40" t="s">
        <v>198</v>
      </c>
      <c r="B499" s="41" t="str">
        <f t="shared" ca="1" si="12"/>
        <v>Servicio de mantenimiento o reparación de equipos y sistemas de protección contra incendios</v>
      </c>
      <c r="C499" s="42" t="str">
        <f>IFERROR(VLOOKUP("UD",'[1]Informacion '!P:Q,2,FALSE),"")</f>
        <v>Unidad</v>
      </c>
      <c r="D499" s="40">
        <v>6</v>
      </c>
      <c r="E499" s="43">
        <v>1200</v>
      </c>
      <c r="F499" s="44">
        <f t="shared" ca="1" si="13"/>
        <v>7200</v>
      </c>
    </row>
    <row r="500" spans="1:6" ht="30.6" x14ac:dyDescent="0.3">
      <c r="A500" s="40" t="s">
        <v>198</v>
      </c>
      <c r="B500" s="41" t="str">
        <f t="shared" ca="1" si="12"/>
        <v>Servicio de mantenimiento o reparación de equipos y sistemas de protección contra incendios</v>
      </c>
      <c r="C500" s="42" t="str">
        <f>IFERROR(VLOOKUP("UD",'[1]Informacion '!P:Q,2,FALSE),"")</f>
        <v>Unidad</v>
      </c>
      <c r="D500" s="40">
        <v>1</v>
      </c>
      <c r="E500" s="43">
        <v>1600</v>
      </c>
      <c r="F500" s="44">
        <f t="shared" ca="1" si="13"/>
        <v>1600</v>
      </c>
    </row>
    <row r="501" spans="1:6" x14ac:dyDescent="0.3">
      <c r="A501" s="30"/>
      <c r="B501" s="30"/>
      <c r="C501" s="30"/>
      <c r="D501" s="30"/>
      <c r="E501" s="45" t="s">
        <v>52</v>
      </c>
      <c r="F501" s="46">
        <f ca="1">SUM(Table28[MONTO TOTAL ESTIMADO])</f>
        <v>58400</v>
      </c>
    </row>
    <row r="502" spans="1:6" ht="15" thickBot="1" x14ac:dyDescent="0.35">
      <c r="A502" s="30"/>
      <c r="B502" s="30"/>
      <c r="C502" s="30"/>
      <c r="D502" s="30"/>
      <c r="E502" s="30"/>
      <c r="F502" s="30"/>
    </row>
    <row r="503" spans="1:6" ht="21" thickBot="1" x14ac:dyDescent="0.35">
      <c r="A503" s="31" t="s">
        <v>19</v>
      </c>
      <c r="B503" s="31" t="s">
        <v>20</v>
      </c>
      <c r="C503" s="31" t="s">
        <v>21</v>
      </c>
      <c r="D503" s="31" t="s">
        <v>22</v>
      </c>
      <c r="E503" s="31" t="s">
        <v>23</v>
      </c>
      <c r="F503" s="31" t="s">
        <v>24</v>
      </c>
    </row>
    <row r="504" spans="1:6" ht="21" thickBot="1" x14ac:dyDescent="0.35">
      <c r="A504" s="12" t="s">
        <v>199</v>
      </c>
      <c r="B504" s="12" t="s">
        <v>199</v>
      </c>
      <c r="C504" s="12" t="s">
        <v>27</v>
      </c>
      <c r="D504" s="12" t="s">
        <v>80</v>
      </c>
      <c r="E504" s="12" t="s">
        <v>59</v>
      </c>
      <c r="F504" s="12"/>
    </row>
    <row r="505" spans="1:6" ht="15" thickBot="1" x14ac:dyDescent="0.35">
      <c r="A505" s="32" t="s">
        <v>30</v>
      </c>
      <c r="B505" s="33" t="s">
        <v>31</v>
      </c>
      <c r="C505" s="34">
        <v>45679</v>
      </c>
      <c r="D505" s="32" t="s">
        <v>32</v>
      </c>
      <c r="E505" s="35" t="s">
        <v>33</v>
      </c>
      <c r="F505" s="36" t="s">
        <v>34</v>
      </c>
    </row>
    <row r="506" spans="1:6" ht="15" thickBot="1" x14ac:dyDescent="0.35">
      <c r="A506" s="37"/>
      <c r="B506" s="33" t="s">
        <v>35</v>
      </c>
      <c r="C506" s="38">
        <f>IF(C505="","",IF(AND(MONTH(C505)&gt;=1,MONTH(C505)&lt;=3),1,IF(AND(MONTH(C505)&gt;=4,MONTH(C505)&lt;=6),2,IF(AND(MONTH(C505)&gt;=7,MONTH(C505)&lt;=9),3,4))))</f>
        <v>1</v>
      </c>
      <c r="D506" s="37"/>
      <c r="E506" s="35" t="s">
        <v>36</v>
      </c>
      <c r="F506" s="36" t="s">
        <v>37</v>
      </c>
    </row>
    <row r="507" spans="1:6" ht="15" thickBot="1" x14ac:dyDescent="0.35">
      <c r="A507" s="37"/>
      <c r="B507" s="33" t="s">
        <v>38</v>
      </c>
      <c r="C507" s="34">
        <v>45681</v>
      </c>
      <c r="D507" s="37"/>
      <c r="E507" s="35" t="s">
        <v>39</v>
      </c>
      <c r="F507" s="36" t="s">
        <v>37</v>
      </c>
    </row>
    <row r="508" spans="1:6" ht="15" thickBot="1" x14ac:dyDescent="0.35">
      <c r="A508" s="37"/>
      <c r="B508" s="33" t="s">
        <v>35</v>
      </c>
      <c r="C508" s="38">
        <f>IF(C507="","",IF(AND(MONTH(C507)&gt;=1,MONTH(C507)&lt;=3),1,IF(AND(MONTH(C507)&gt;=4,MONTH(C507)&lt;=6),2,IF(AND(MONTH(C507)&gt;=7,MONTH(C507)&lt;=9),3,4))))</f>
        <v>1</v>
      </c>
      <c r="D508" s="37"/>
      <c r="E508" s="35" t="s">
        <v>40</v>
      </c>
      <c r="F508" s="36"/>
    </row>
    <row r="509" spans="1:6" ht="15" thickBot="1" x14ac:dyDescent="0.35">
      <c r="A509" s="30"/>
      <c r="B509" s="30"/>
      <c r="C509" s="30"/>
      <c r="D509" s="30"/>
      <c r="E509" s="30"/>
      <c r="F509" s="30"/>
    </row>
    <row r="510" spans="1:6" ht="15" thickBot="1" x14ac:dyDescent="0.35">
      <c r="A510" s="39" t="s">
        <v>41</v>
      </c>
      <c r="B510" s="39" t="s">
        <v>42</v>
      </c>
      <c r="C510" s="39" t="s">
        <v>43</v>
      </c>
      <c r="D510" s="39" t="s">
        <v>44</v>
      </c>
      <c r="E510" s="39" t="s">
        <v>45</v>
      </c>
      <c r="F510" s="39" t="s">
        <v>46</v>
      </c>
    </row>
    <row r="511" spans="1:6" x14ac:dyDescent="0.3">
      <c r="A511" s="40" t="s">
        <v>200</v>
      </c>
      <c r="B511" s="41" t="str">
        <f ca="1">IFERROR(INDEX(UNSPSCDes,MATCH(INDIRECT(ADDRESS(ROW(),COLUMN()-1,4)),UNSPSCCode,0)),IF(INDIRECT(ADDRESS(ROW(),COLUMN()-1,4))="50202301","Agua",""))</f>
        <v>Agua</v>
      </c>
      <c r="C511" s="42" t="str">
        <f>IFERROR(VLOOKUP("UD",'[1]Informacion '!P:Q,2,FALSE),"")</f>
        <v>Unidad</v>
      </c>
      <c r="D511" s="40">
        <v>4000</v>
      </c>
      <c r="E511" s="43">
        <v>55</v>
      </c>
      <c r="F511" s="44">
        <f ca="1">INDIRECT(ADDRESS(ROW(),COLUMN()-2,4))*INDIRECT(ADDRESS(ROW(),COLUMN()-1,4))</f>
        <v>220000</v>
      </c>
    </row>
    <row r="512" spans="1:6" x14ac:dyDescent="0.3">
      <c r="A512" s="30"/>
      <c r="B512" s="30"/>
      <c r="C512" s="30"/>
      <c r="D512" s="30"/>
      <c r="E512" s="45" t="s">
        <v>52</v>
      </c>
      <c r="F512" s="46">
        <f ca="1">SUM(Table29[MONTO TOTAL ESTIMADO])</f>
        <v>220000</v>
      </c>
    </row>
    <row r="513" spans="1:6" ht="15" thickBot="1" x14ac:dyDescent="0.35">
      <c r="A513" s="30"/>
      <c r="B513" s="30"/>
      <c r="C513" s="30"/>
      <c r="D513" s="30"/>
      <c r="E513" s="30"/>
      <c r="F513" s="30"/>
    </row>
    <row r="514" spans="1:6" ht="21" thickBot="1" x14ac:dyDescent="0.35">
      <c r="A514" s="31" t="s">
        <v>19</v>
      </c>
      <c r="B514" s="31" t="s">
        <v>20</v>
      </c>
      <c r="C514" s="31" t="s">
        <v>21</v>
      </c>
      <c r="D514" s="31" t="s">
        <v>22</v>
      </c>
      <c r="E514" s="31" t="s">
        <v>23</v>
      </c>
      <c r="F514" s="31" t="s">
        <v>24</v>
      </c>
    </row>
    <row r="515" spans="1:6" ht="21" thickBot="1" x14ac:dyDescent="0.35">
      <c r="A515" s="12" t="s">
        <v>201</v>
      </c>
      <c r="B515" s="12" t="s">
        <v>201</v>
      </c>
      <c r="C515" s="12" t="s">
        <v>27</v>
      </c>
      <c r="D515" s="12" t="s">
        <v>80</v>
      </c>
      <c r="E515" s="12" t="s">
        <v>59</v>
      </c>
      <c r="F515" s="12"/>
    </row>
    <row r="516" spans="1:6" ht="15" thickBot="1" x14ac:dyDescent="0.35">
      <c r="A516" s="32" t="s">
        <v>30</v>
      </c>
      <c r="B516" s="33" t="s">
        <v>31</v>
      </c>
      <c r="C516" s="34">
        <v>45684</v>
      </c>
      <c r="D516" s="32" t="s">
        <v>32</v>
      </c>
      <c r="E516" s="35" t="s">
        <v>33</v>
      </c>
      <c r="F516" s="36" t="s">
        <v>34</v>
      </c>
    </row>
    <row r="517" spans="1:6" ht="15" thickBot="1" x14ac:dyDescent="0.35">
      <c r="A517" s="37"/>
      <c r="B517" s="33" t="s">
        <v>35</v>
      </c>
      <c r="C517" s="38">
        <f>IF(C516="","",IF(AND(MONTH(C516)&gt;=1,MONTH(C516)&lt;=3),1,IF(AND(MONTH(C516)&gt;=4,MONTH(C516)&lt;=6),2,IF(AND(MONTH(C516)&gt;=7,MONTH(C516)&lt;=9),3,4))))</f>
        <v>1</v>
      </c>
      <c r="D517" s="37"/>
      <c r="E517" s="35" t="s">
        <v>36</v>
      </c>
      <c r="F517" s="36" t="s">
        <v>37</v>
      </c>
    </row>
    <row r="518" spans="1:6" ht="15" thickBot="1" x14ac:dyDescent="0.35">
      <c r="A518" s="37"/>
      <c r="B518" s="33" t="s">
        <v>38</v>
      </c>
      <c r="C518" s="34">
        <v>45688</v>
      </c>
      <c r="D518" s="37"/>
      <c r="E518" s="35" t="s">
        <v>39</v>
      </c>
      <c r="F518" s="36" t="s">
        <v>37</v>
      </c>
    </row>
    <row r="519" spans="1:6" ht="15" thickBot="1" x14ac:dyDescent="0.35">
      <c r="A519" s="37"/>
      <c r="B519" s="33" t="s">
        <v>35</v>
      </c>
      <c r="C519" s="38">
        <f>IF(C518="","",IF(AND(MONTH(C518)&gt;=1,MONTH(C518)&lt;=3),1,IF(AND(MONTH(C518)&gt;=4,MONTH(C518)&lt;=6),2,IF(AND(MONTH(C518)&gt;=7,MONTH(C518)&lt;=9),3,4))))</f>
        <v>1</v>
      </c>
      <c r="D519" s="37"/>
      <c r="E519" s="35" t="s">
        <v>40</v>
      </c>
      <c r="F519" s="36"/>
    </row>
    <row r="520" spans="1:6" ht="15" thickBot="1" x14ac:dyDescent="0.35">
      <c r="A520" s="30"/>
      <c r="B520" s="30"/>
      <c r="C520" s="30"/>
      <c r="D520" s="30"/>
      <c r="E520" s="30"/>
      <c r="F520" s="30"/>
    </row>
    <row r="521" spans="1:6" ht="15" thickBot="1" x14ac:dyDescent="0.35">
      <c r="A521" s="39" t="s">
        <v>41</v>
      </c>
      <c r="B521" s="39" t="s">
        <v>42</v>
      </c>
      <c r="C521" s="39" t="s">
        <v>43</v>
      </c>
      <c r="D521" s="39" t="s">
        <v>44</v>
      </c>
      <c r="E521" s="39" t="s">
        <v>45</v>
      </c>
      <c r="F521" s="39" t="s">
        <v>46</v>
      </c>
    </row>
    <row r="522" spans="1:6" x14ac:dyDescent="0.3">
      <c r="A522" s="40" t="s">
        <v>202</v>
      </c>
      <c r="B522" s="41" t="str">
        <f ca="1">IFERROR(INDEX(UNSPSCDes,MATCH(INDIRECT(ADDRESS(ROW(),COLUMN()-1,4)),UNSPSCCode,0)),IF(INDIRECT(ADDRESS(ROW(),COLUMN()-1,4))="26111703","Baterías para vehículos",""))</f>
        <v>Baterías para vehículos</v>
      </c>
      <c r="C522" s="42" t="str">
        <f>IFERROR(VLOOKUP("UD",'[1]Informacion '!P:Q,2,FALSE),"")</f>
        <v>Unidad</v>
      </c>
      <c r="D522" s="40">
        <v>1</v>
      </c>
      <c r="E522" s="43">
        <v>7000</v>
      </c>
      <c r="F522" s="44">
        <f t="shared" ref="F522:F532" ca="1" si="14">INDIRECT(ADDRESS(ROW(),COLUMN()-2,4))*INDIRECT(ADDRESS(ROW(),COLUMN()-1,4))</f>
        <v>7000</v>
      </c>
    </row>
    <row r="523" spans="1:6" x14ac:dyDescent="0.3">
      <c r="A523" s="40" t="s">
        <v>203</v>
      </c>
      <c r="B523" s="41" t="str">
        <f ca="1">IFERROR(INDEX(UNSPSCDes,MATCH(INDIRECT(ADDRESS(ROW(),COLUMN()-1,4)),UNSPSCCode,0)),IF(INDIRECT(ADDRESS(ROW(),COLUMN()-1,4))="15121501","Aceite motor",""))</f>
        <v>Aceite motor</v>
      </c>
      <c r="C523" s="42" t="str">
        <f>IFERROR(VLOOKUP("UD",'[1]Informacion '!P:Q,2,FALSE),"")</f>
        <v>Unidad</v>
      </c>
      <c r="D523" s="40">
        <v>1</v>
      </c>
      <c r="E523" s="43">
        <v>20000</v>
      </c>
      <c r="F523" s="44">
        <f t="shared" ca="1" si="14"/>
        <v>20000</v>
      </c>
    </row>
    <row r="524" spans="1:6" x14ac:dyDescent="0.3">
      <c r="A524" s="40" t="s">
        <v>204</v>
      </c>
      <c r="B524" s="41" t="str">
        <f ca="1">IFERROR(INDEX(UNSPSCDes,MATCH(INDIRECT(ADDRESS(ROW(),COLUMN()-1,4)),UNSPSCCode,0)),IF(INDIRECT(ADDRESS(ROW(),COLUMN()-1,4))="15121504","Aceite hidráulico",""))</f>
        <v>Aceite hidráulico</v>
      </c>
      <c r="C524" s="42" t="str">
        <f>IFERROR(VLOOKUP("UD",'[1]Informacion '!P:Q,2,FALSE),"")</f>
        <v>Unidad</v>
      </c>
      <c r="D524" s="40">
        <v>24</v>
      </c>
      <c r="E524" s="43">
        <v>350</v>
      </c>
      <c r="F524" s="44">
        <f t="shared" ca="1" si="14"/>
        <v>8400</v>
      </c>
    </row>
    <row r="525" spans="1:6" x14ac:dyDescent="0.3">
      <c r="A525" s="40" t="s">
        <v>205</v>
      </c>
      <c r="B525" s="41" t="str">
        <f ca="1">IFERROR(INDEX(UNSPSCDes,MATCH(INDIRECT(ADDRESS(ROW(),COLUMN()-1,4)),UNSPSCCode,0)),IF(INDIRECT(ADDRESS(ROW(),COLUMN()-1,4))="15121509","Aceite de frenos",""))</f>
        <v>Aceite de frenos</v>
      </c>
      <c r="C525" s="42" t="str">
        <f>IFERROR(VLOOKUP("UD",'[1]Informacion '!P:Q,2,FALSE),"")</f>
        <v>Unidad</v>
      </c>
      <c r="D525" s="40">
        <v>12</v>
      </c>
      <c r="E525" s="43">
        <v>250</v>
      </c>
      <c r="F525" s="44">
        <f t="shared" ca="1" si="14"/>
        <v>3000</v>
      </c>
    </row>
    <row r="526" spans="1:6" x14ac:dyDescent="0.3">
      <c r="A526" s="40" t="s">
        <v>206</v>
      </c>
      <c r="B526" s="41" t="str">
        <f ca="1">IFERROR(INDEX(UNSPSCDes,MATCH(INDIRECT(ADDRESS(ROW(),COLUMN()-1,4)),UNSPSCCode,0)),IF(INDIRECT(ADDRESS(ROW(),COLUMN()-1,4))="25174004","Refrigerante de motor",""))</f>
        <v>Refrigerante de motor</v>
      </c>
      <c r="C526" s="42" t="str">
        <f>IFERROR(VLOOKUP("UD",'[1]Informacion '!P:Q,2,FALSE),"")</f>
        <v>Unidad</v>
      </c>
      <c r="D526" s="40">
        <v>12</v>
      </c>
      <c r="E526" s="43">
        <v>700</v>
      </c>
      <c r="F526" s="44">
        <f t="shared" ca="1" si="14"/>
        <v>8400</v>
      </c>
    </row>
    <row r="527" spans="1:6" x14ac:dyDescent="0.3">
      <c r="A527" s="40" t="s">
        <v>207</v>
      </c>
      <c r="B527" s="41" t="str">
        <f ca="1">IFERROR(INDEX(UNSPSCDes,MATCH(INDIRECT(ADDRESS(ROW(),COLUMN()-1,4)),UNSPSCCode,0)),IF(INDIRECT(ADDRESS(ROW(),COLUMN()-1,4))="40161504","Filtros de aceite",""))</f>
        <v>Filtros de aceite</v>
      </c>
      <c r="C527" s="42" t="str">
        <f>IFERROR(VLOOKUP("UD",'[1]Informacion '!P:Q,2,FALSE),"")</f>
        <v>Unidad</v>
      </c>
      <c r="D527" s="40">
        <v>6</v>
      </c>
      <c r="E527" s="43">
        <v>800</v>
      </c>
      <c r="F527" s="44">
        <f t="shared" ca="1" si="14"/>
        <v>4800</v>
      </c>
    </row>
    <row r="528" spans="1:6" x14ac:dyDescent="0.3">
      <c r="A528" s="40" t="s">
        <v>208</v>
      </c>
      <c r="B528" s="41" t="str">
        <f ca="1">IFERROR(INDEX(UNSPSCDes,MATCH(INDIRECT(ADDRESS(ROW(),COLUMN()-1,4)),UNSPSCCode,0)),IF(INDIRECT(ADDRESS(ROW(),COLUMN()-1,4))="40161505","Filtros de aire",""))</f>
        <v>Filtros de aire</v>
      </c>
      <c r="C528" s="42" t="str">
        <f>IFERROR(VLOOKUP("UD",'[1]Informacion '!P:Q,2,FALSE),"")</f>
        <v>Unidad</v>
      </c>
      <c r="D528" s="40">
        <v>6</v>
      </c>
      <c r="E528" s="43">
        <v>800</v>
      </c>
      <c r="F528" s="44">
        <f t="shared" ca="1" si="14"/>
        <v>4800</v>
      </c>
    </row>
    <row r="529" spans="1:6" x14ac:dyDescent="0.3">
      <c r="A529" s="40" t="s">
        <v>209</v>
      </c>
      <c r="B529" s="41" t="str">
        <f ca="1">IFERROR(INDEX(UNSPSCDes,MATCH(INDIRECT(ADDRESS(ROW(),COLUMN()-1,4)),UNSPSCCode,0)),IF(INDIRECT(ADDRESS(ROW(),COLUMN()-1,4))="40161513","Filtros de combustible",""))</f>
        <v>Filtros de combustible</v>
      </c>
      <c r="C529" s="42" t="str">
        <f>IFERROR(VLOOKUP("UD",'[1]Informacion '!P:Q,2,FALSE),"")</f>
        <v>Unidad</v>
      </c>
      <c r="D529" s="40">
        <v>6</v>
      </c>
      <c r="E529" s="43">
        <v>650</v>
      </c>
      <c r="F529" s="44">
        <f t="shared" ca="1" si="14"/>
        <v>3900</v>
      </c>
    </row>
    <row r="530" spans="1:6" ht="20.399999999999999" x14ac:dyDescent="0.3">
      <c r="A530" s="40" t="s">
        <v>210</v>
      </c>
      <c r="B530" s="41" t="str">
        <f ca="1">IFERROR(INDEX(UNSPSCDes,MATCH(INDIRECT(ADDRESS(ROW(),COLUMN()-1,4)),UNSPSCCode,0)),IF(INDIRECT(ADDRESS(ROW(),COLUMN()-1,4))="25172504","Neumáticos para automoviles o camiones ligeros",""))</f>
        <v>Neumáticos para automoviles o camiones ligeros</v>
      </c>
      <c r="C530" s="42" t="str">
        <f>IFERROR(VLOOKUP("UD",'[1]Informacion '!P:Q,2,FALSE),"")</f>
        <v>Unidad</v>
      </c>
      <c r="D530" s="40">
        <v>6</v>
      </c>
      <c r="E530" s="43">
        <v>8500</v>
      </c>
      <c r="F530" s="44">
        <f t="shared" ca="1" si="14"/>
        <v>51000</v>
      </c>
    </row>
    <row r="531" spans="1:6" ht="20.399999999999999" x14ac:dyDescent="0.3">
      <c r="A531" s="40" t="s">
        <v>210</v>
      </c>
      <c r="B531" s="41" t="str">
        <f ca="1">IFERROR(INDEX(UNSPSCDes,MATCH(INDIRECT(ADDRESS(ROW(),COLUMN()-1,4)),UNSPSCCode,0)),IF(INDIRECT(ADDRESS(ROW(),COLUMN()-1,4))="25172504","Neumáticos para automoviles o camiones ligeros",""))</f>
        <v>Neumáticos para automoviles o camiones ligeros</v>
      </c>
      <c r="C531" s="42" t="str">
        <f>IFERROR(VLOOKUP("UD",'[1]Informacion '!P:Q,2,FALSE),"")</f>
        <v>Unidad</v>
      </c>
      <c r="D531" s="40">
        <v>4</v>
      </c>
      <c r="E531" s="43">
        <v>9000</v>
      </c>
      <c r="F531" s="44">
        <f t="shared" ca="1" si="14"/>
        <v>36000</v>
      </c>
    </row>
    <row r="532" spans="1:6" ht="20.399999999999999" x14ac:dyDescent="0.3">
      <c r="A532" s="40" t="s">
        <v>210</v>
      </c>
      <c r="B532" s="41" t="str">
        <f ca="1">IFERROR(INDEX(UNSPSCDes,MATCH(INDIRECT(ADDRESS(ROW(),COLUMN()-1,4)),UNSPSCCode,0)),IF(INDIRECT(ADDRESS(ROW(),COLUMN()-1,4))="25172504","Neumáticos para automoviles o camiones ligeros",""))</f>
        <v>Neumáticos para automoviles o camiones ligeros</v>
      </c>
      <c r="C532" s="42" t="str">
        <f>IFERROR(VLOOKUP("UD",'[1]Informacion '!P:Q,2,FALSE),"")</f>
        <v>Unidad</v>
      </c>
      <c r="D532" s="40">
        <v>4</v>
      </c>
      <c r="E532" s="43">
        <v>7500</v>
      </c>
      <c r="F532" s="44">
        <f t="shared" ca="1" si="14"/>
        <v>30000</v>
      </c>
    </row>
    <row r="533" spans="1:6" x14ac:dyDescent="0.3">
      <c r="A533" s="30"/>
      <c r="B533" s="30"/>
      <c r="C533" s="30"/>
      <c r="D533" s="30"/>
      <c r="E533" s="45" t="s">
        <v>52</v>
      </c>
      <c r="F533" s="46">
        <f ca="1">SUM(Table30[MONTO TOTAL ESTIMADO])</f>
        <v>177300</v>
      </c>
    </row>
    <row r="534" spans="1:6" ht="15" thickBot="1" x14ac:dyDescent="0.35">
      <c r="A534" s="30"/>
      <c r="B534" s="30"/>
      <c r="C534" s="30"/>
      <c r="D534" s="30"/>
      <c r="E534" s="30"/>
      <c r="F534" s="30"/>
    </row>
    <row r="535" spans="1:6" ht="21" thickBot="1" x14ac:dyDescent="0.35">
      <c r="A535" s="31" t="s">
        <v>19</v>
      </c>
      <c r="B535" s="31" t="s">
        <v>20</v>
      </c>
      <c r="C535" s="31" t="s">
        <v>21</v>
      </c>
      <c r="D535" s="31" t="s">
        <v>22</v>
      </c>
      <c r="E535" s="31" t="s">
        <v>23</v>
      </c>
      <c r="F535" s="31" t="s">
        <v>24</v>
      </c>
    </row>
    <row r="536" spans="1:6" ht="21" thickBot="1" x14ac:dyDescent="0.35">
      <c r="A536" s="12" t="s">
        <v>211</v>
      </c>
      <c r="B536" s="12" t="s">
        <v>212</v>
      </c>
      <c r="C536" s="12" t="s">
        <v>27</v>
      </c>
      <c r="D536" s="12" t="s">
        <v>28</v>
      </c>
      <c r="E536" s="12" t="s">
        <v>59</v>
      </c>
      <c r="F536" s="12"/>
    </row>
    <row r="537" spans="1:6" ht="15" thickBot="1" x14ac:dyDescent="0.35">
      <c r="A537" s="32" t="s">
        <v>30</v>
      </c>
      <c r="B537" s="33" t="s">
        <v>31</v>
      </c>
      <c r="C537" s="34">
        <v>45677</v>
      </c>
      <c r="D537" s="32" t="s">
        <v>32</v>
      </c>
      <c r="E537" s="35" t="s">
        <v>33</v>
      </c>
      <c r="F537" s="36" t="s">
        <v>34</v>
      </c>
    </row>
    <row r="538" spans="1:6" ht="15" thickBot="1" x14ac:dyDescent="0.35">
      <c r="A538" s="37"/>
      <c r="B538" s="33" t="s">
        <v>35</v>
      </c>
      <c r="C538" s="38">
        <f>IF(C537="","",IF(AND(MONTH(C537)&gt;=1,MONTH(C537)&lt;=3),1,IF(AND(MONTH(C537)&gt;=4,MONTH(C537)&lt;=6),2,IF(AND(MONTH(C537)&gt;=7,MONTH(C537)&lt;=9),3,4))))</f>
        <v>1</v>
      </c>
      <c r="D538" s="37"/>
      <c r="E538" s="35" t="s">
        <v>36</v>
      </c>
      <c r="F538" s="36" t="s">
        <v>37</v>
      </c>
    </row>
    <row r="539" spans="1:6" ht="15" thickBot="1" x14ac:dyDescent="0.35">
      <c r="A539" s="37"/>
      <c r="B539" s="33" t="s">
        <v>38</v>
      </c>
      <c r="C539" s="34">
        <v>45684</v>
      </c>
      <c r="D539" s="37"/>
      <c r="E539" s="35" t="s">
        <v>39</v>
      </c>
      <c r="F539" s="36" t="s">
        <v>37</v>
      </c>
    </row>
    <row r="540" spans="1:6" ht="15" thickBot="1" x14ac:dyDescent="0.35">
      <c r="A540" s="37"/>
      <c r="B540" s="33" t="s">
        <v>35</v>
      </c>
      <c r="C540" s="38">
        <f>IF(C539="","",IF(AND(MONTH(C539)&gt;=1,MONTH(C539)&lt;=3),1,IF(AND(MONTH(C539)&gt;=4,MONTH(C539)&lt;=6),2,IF(AND(MONTH(C539)&gt;=7,MONTH(C539)&lt;=9),3,4))))</f>
        <v>1</v>
      </c>
      <c r="D540" s="37"/>
      <c r="E540" s="35" t="s">
        <v>40</v>
      </c>
      <c r="F540" s="36"/>
    </row>
    <row r="541" spans="1:6" ht="15" thickBot="1" x14ac:dyDescent="0.35">
      <c r="A541" s="30"/>
      <c r="B541" s="30"/>
      <c r="C541" s="30"/>
      <c r="D541" s="30"/>
      <c r="E541" s="30"/>
      <c r="F541" s="30"/>
    </row>
    <row r="542" spans="1:6" ht="15" thickBot="1" x14ac:dyDescent="0.35">
      <c r="A542" s="39" t="s">
        <v>41</v>
      </c>
      <c r="B542" s="39" t="s">
        <v>42</v>
      </c>
      <c r="C542" s="39" t="s">
        <v>43</v>
      </c>
      <c r="D542" s="39" t="s">
        <v>44</v>
      </c>
      <c r="E542" s="39" t="s">
        <v>45</v>
      </c>
      <c r="F542" s="39" t="s">
        <v>46</v>
      </c>
    </row>
    <row r="543" spans="1:6" x14ac:dyDescent="0.3">
      <c r="A543" s="40" t="s">
        <v>213</v>
      </c>
      <c r="B543" s="41" t="str">
        <f ca="1">IFERROR(INDEX(UNSPSCDes,MATCH(INDIRECT(ADDRESS(ROW(),COLUMN()-1,4)),UNSPSCCode,0)),IF(INDIRECT(ADDRESS(ROW(),COLUMN()-1,4))="11111701","Arena de sílice",""))</f>
        <v>Arena de sílice</v>
      </c>
      <c r="C543" s="42" t="str">
        <f>IFERROR(VLOOKUP("M3",'[1]Informacion '!P:Q,2,FALSE),"")</f>
        <v>Metro cúbico</v>
      </c>
      <c r="D543" s="40">
        <v>12</v>
      </c>
      <c r="E543" s="43">
        <v>1400</v>
      </c>
      <c r="F543" s="44">
        <f t="shared" ref="F543:F549" ca="1" si="15">INDIRECT(ADDRESS(ROW(),COLUMN()-2,4))*INDIRECT(ADDRESS(ROW(),COLUMN()-1,4))</f>
        <v>16800</v>
      </c>
    </row>
    <row r="544" spans="1:6" x14ac:dyDescent="0.3">
      <c r="A544" s="40" t="s">
        <v>213</v>
      </c>
      <c r="B544" s="41" t="str">
        <f ca="1">IFERROR(INDEX(UNSPSCDes,MATCH(INDIRECT(ADDRESS(ROW(),COLUMN()-1,4)),UNSPSCCode,0)),IF(INDIRECT(ADDRESS(ROW(),COLUMN()-1,4))="11111701","Arena de sílice",""))</f>
        <v>Arena de sílice</v>
      </c>
      <c r="C544" s="42" t="str">
        <f>IFERROR(VLOOKUP("M3",'[1]Informacion '!P:Q,2,FALSE),"")</f>
        <v>Metro cúbico</v>
      </c>
      <c r="D544" s="40">
        <v>24</v>
      </c>
      <c r="E544" s="43">
        <v>2600</v>
      </c>
      <c r="F544" s="44">
        <f t="shared" ca="1" si="15"/>
        <v>62400</v>
      </c>
    </row>
    <row r="545" spans="1:6" x14ac:dyDescent="0.3">
      <c r="A545" s="40" t="s">
        <v>214</v>
      </c>
      <c r="B545" s="41" t="str">
        <f ca="1">IFERROR(INDEX(UNSPSCDes,MATCH(INDIRECT(ADDRESS(ROW(),COLUMN()-1,4)),UNSPSCCode,0)),IF(INDIRECT(ADDRESS(ROW(),COLUMN()-1,4))="30111601","Cemento",""))</f>
        <v>Cemento</v>
      </c>
      <c r="C545" s="42" t="str">
        <f>IFERROR(VLOOKUP("UD",'[1]Informacion '!P:Q,2,FALSE),"")</f>
        <v>Unidad</v>
      </c>
      <c r="D545" s="40">
        <v>400</v>
      </c>
      <c r="E545" s="43">
        <v>550</v>
      </c>
      <c r="F545" s="44">
        <f t="shared" ca="1" si="15"/>
        <v>220000</v>
      </c>
    </row>
    <row r="546" spans="1:6" x14ac:dyDescent="0.3">
      <c r="A546" s="40" t="s">
        <v>215</v>
      </c>
      <c r="B546" s="41" t="str">
        <f ca="1">IFERROR(INDEX(UNSPSCDes,MATCH(INDIRECT(ADDRESS(ROW(),COLUMN()-1,4)),UNSPSCCode,0)),IF(INDIRECT(ADDRESS(ROW(),COLUMN()-1,4))="30131502","Bloques de concreto",""))</f>
        <v>Bloques de concreto</v>
      </c>
      <c r="C546" s="42" t="str">
        <f>IFERROR(VLOOKUP("UD",'[1]Informacion '!P:Q,2,FALSE),"")</f>
        <v>Unidad</v>
      </c>
      <c r="D546" s="40">
        <v>2000</v>
      </c>
      <c r="E546" s="43">
        <v>50</v>
      </c>
      <c r="F546" s="44">
        <f t="shared" ca="1" si="15"/>
        <v>100000</v>
      </c>
    </row>
    <row r="547" spans="1:6" x14ac:dyDescent="0.3">
      <c r="A547" s="40" t="s">
        <v>215</v>
      </c>
      <c r="B547" s="41" t="str">
        <f ca="1">IFERROR(INDEX(UNSPSCDes,MATCH(INDIRECT(ADDRESS(ROW(),COLUMN()-1,4)),UNSPSCCode,0)),IF(INDIRECT(ADDRESS(ROW(),COLUMN()-1,4))="30131502","Bloques de concreto",""))</f>
        <v>Bloques de concreto</v>
      </c>
      <c r="C547" s="42" t="str">
        <f>IFERROR(VLOOKUP("UD",'[1]Informacion '!P:Q,2,FALSE),"")</f>
        <v>Unidad</v>
      </c>
      <c r="D547" s="40">
        <v>500</v>
      </c>
      <c r="E547" s="43">
        <v>55</v>
      </c>
      <c r="F547" s="44">
        <f t="shared" ca="1" si="15"/>
        <v>27500</v>
      </c>
    </row>
    <row r="548" spans="1:6" x14ac:dyDescent="0.3">
      <c r="A548" s="40" t="s">
        <v>216</v>
      </c>
      <c r="B548" s="41" t="str">
        <f ca="1">IFERROR(INDEX(UNSPSCDes,MATCH(INDIRECT(ADDRESS(ROW(),COLUMN()-1,4)),UNSPSCCode,0)),IF(INDIRECT(ADDRESS(ROW(),COLUMN()-1,4))="11111611","Gravilla",""))</f>
        <v>Gravilla</v>
      </c>
      <c r="C548" s="42" t="str">
        <f>IFERROR(VLOOKUP("M3",'[1]Informacion '!P:Q,2,FALSE),"")</f>
        <v>Metro cúbico</v>
      </c>
      <c r="D548" s="40">
        <v>24</v>
      </c>
      <c r="E548" s="43">
        <v>1600</v>
      </c>
      <c r="F548" s="44">
        <f t="shared" ca="1" si="15"/>
        <v>38400</v>
      </c>
    </row>
    <row r="549" spans="1:6" x14ac:dyDescent="0.3">
      <c r="A549" s="40" t="s">
        <v>217</v>
      </c>
      <c r="B549" s="41" t="str">
        <f ca="1">IFERROR(INDEX(UNSPSCDes,MATCH(INDIRECT(ADDRESS(ROW(),COLUMN()-1,4)),UNSPSCCode,0)),IF(INDIRECT(ADDRESS(ROW(),COLUMN()-1,4))="30102403","Varillas de hierro",""))</f>
        <v>Varillas de hierro</v>
      </c>
      <c r="C549" s="42" t="str">
        <f>IFERROR(VLOOKUP("Q",'[1]Informacion '!P:Q,2,FALSE),"")</f>
        <v>Quintal</v>
      </c>
      <c r="D549" s="40">
        <v>20</v>
      </c>
      <c r="E549" s="43">
        <v>4000</v>
      </c>
      <c r="F549" s="44">
        <f t="shared" ca="1" si="15"/>
        <v>80000</v>
      </c>
    </row>
    <row r="550" spans="1:6" x14ac:dyDescent="0.3">
      <c r="A550" s="30"/>
      <c r="B550" s="30"/>
      <c r="C550" s="30"/>
      <c r="D550" s="30"/>
      <c r="E550" s="45" t="s">
        <v>52</v>
      </c>
      <c r="F550" s="46">
        <f ca="1">SUM(Table31[MONTO TOTAL ESTIMADO])</f>
        <v>545100</v>
      </c>
    </row>
    <row r="551" spans="1:6" ht="15" thickBot="1" x14ac:dyDescent="0.35">
      <c r="A551" s="30"/>
      <c r="B551" s="30"/>
      <c r="C551" s="30"/>
      <c r="D551" s="30"/>
      <c r="E551" s="30"/>
      <c r="F551" s="30"/>
    </row>
    <row r="552" spans="1:6" ht="21" thickBot="1" x14ac:dyDescent="0.35">
      <c r="A552" s="31" t="s">
        <v>19</v>
      </c>
      <c r="B552" s="31" t="s">
        <v>20</v>
      </c>
      <c r="C552" s="31" t="s">
        <v>21</v>
      </c>
      <c r="D552" s="31" t="s">
        <v>22</v>
      </c>
      <c r="E552" s="31" t="s">
        <v>23</v>
      </c>
      <c r="F552" s="31" t="s">
        <v>24</v>
      </c>
    </row>
    <row r="553" spans="1:6" ht="21" thickBot="1" x14ac:dyDescent="0.35">
      <c r="A553" s="12" t="s">
        <v>218</v>
      </c>
      <c r="B553" s="12" t="s">
        <v>218</v>
      </c>
      <c r="C553" s="12" t="s">
        <v>27</v>
      </c>
      <c r="D553" s="12" t="s">
        <v>28</v>
      </c>
      <c r="E553" s="12" t="s">
        <v>59</v>
      </c>
      <c r="F553" s="12"/>
    </row>
    <row r="554" spans="1:6" ht="15" thickBot="1" x14ac:dyDescent="0.35">
      <c r="A554" s="32" t="s">
        <v>30</v>
      </c>
      <c r="B554" s="33" t="s">
        <v>31</v>
      </c>
      <c r="C554" s="34">
        <v>45685</v>
      </c>
      <c r="D554" s="32" t="s">
        <v>32</v>
      </c>
      <c r="E554" s="35" t="s">
        <v>33</v>
      </c>
      <c r="F554" s="36" t="s">
        <v>34</v>
      </c>
    </row>
    <row r="555" spans="1:6" ht="15" thickBot="1" x14ac:dyDescent="0.35">
      <c r="A555" s="37"/>
      <c r="B555" s="33" t="s">
        <v>35</v>
      </c>
      <c r="C555" s="38">
        <f>IF(C554="","",IF(AND(MONTH(C554)&gt;=1,MONTH(C554)&lt;=3),1,IF(AND(MONTH(C554)&gt;=4,MONTH(C554)&lt;=6),2,IF(AND(MONTH(C554)&gt;=7,MONTH(C554)&lt;=9),3,4))))</f>
        <v>1</v>
      </c>
      <c r="D555" s="37"/>
      <c r="E555" s="35" t="s">
        <v>36</v>
      </c>
      <c r="F555" s="36" t="s">
        <v>37</v>
      </c>
    </row>
    <row r="556" spans="1:6" ht="15" thickBot="1" x14ac:dyDescent="0.35">
      <c r="A556" s="37"/>
      <c r="B556" s="33" t="s">
        <v>38</v>
      </c>
      <c r="C556" s="34">
        <v>45691</v>
      </c>
      <c r="D556" s="37"/>
      <c r="E556" s="35" t="s">
        <v>39</v>
      </c>
      <c r="F556" s="36" t="s">
        <v>37</v>
      </c>
    </row>
    <row r="557" spans="1:6" ht="15" thickBot="1" x14ac:dyDescent="0.35">
      <c r="A557" s="37"/>
      <c r="B557" s="33" t="s">
        <v>35</v>
      </c>
      <c r="C557" s="38">
        <f>IF(C556="","",IF(AND(MONTH(C556)&gt;=1,MONTH(C556)&lt;=3),1,IF(AND(MONTH(C556)&gt;=4,MONTH(C556)&lt;=6),2,IF(AND(MONTH(C556)&gt;=7,MONTH(C556)&lt;=9),3,4))))</f>
        <v>1</v>
      </c>
      <c r="D557" s="37"/>
      <c r="E557" s="35" t="s">
        <v>40</v>
      </c>
      <c r="F557" s="36"/>
    </row>
    <row r="558" spans="1:6" ht="15" thickBot="1" x14ac:dyDescent="0.35">
      <c r="A558" s="30"/>
      <c r="B558" s="30"/>
      <c r="C558" s="30"/>
      <c r="D558" s="30"/>
      <c r="E558" s="30"/>
      <c r="F558" s="30"/>
    </row>
    <row r="559" spans="1:6" ht="15" thickBot="1" x14ac:dyDescent="0.35">
      <c r="A559" s="39" t="s">
        <v>41</v>
      </c>
      <c r="B559" s="39" t="s">
        <v>42</v>
      </c>
      <c r="C559" s="39" t="s">
        <v>43</v>
      </c>
      <c r="D559" s="39" t="s">
        <v>44</v>
      </c>
      <c r="E559" s="39" t="s">
        <v>45</v>
      </c>
      <c r="F559" s="39" t="s">
        <v>46</v>
      </c>
    </row>
    <row r="560" spans="1:6" x14ac:dyDescent="0.3">
      <c r="A560" s="40" t="s">
        <v>219</v>
      </c>
      <c r="B560" s="41" t="str">
        <f ca="1">IFERROR(INDEX(UNSPSCDes,MATCH(INDIRECT(ADDRESS(ROW(),COLUMN()-1,4)),UNSPSCCode,0)),IF(INDIRECT(ADDRESS(ROW(),COLUMN()-1,4))="30102303","Perfiles de hierro",""))</f>
        <v>Perfiles de hierro</v>
      </c>
      <c r="C560" s="42" t="str">
        <f>IFERROR(VLOOKUP("UD",'[1]Informacion '!P:Q,2,FALSE),"")</f>
        <v>Unidad</v>
      </c>
      <c r="D560" s="40">
        <v>10</v>
      </c>
      <c r="E560" s="43">
        <v>1100</v>
      </c>
      <c r="F560" s="44">
        <f t="shared" ref="F560:F572" ca="1" si="16">INDIRECT(ADDRESS(ROW(),COLUMN()-2,4))*INDIRECT(ADDRESS(ROW(),COLUMN()-1,4))</f>
        <v>11000</v>
      </c>
    </row>
    <row r="561" spans="1:6" x14ac:dyDescent="0.3">
      <c r="A561" s="40" t="s">
        <v>219</v>
      </c>
      <c r="B561" s="41" t="str">
        <f ca="1">IFERROR(INDEX(UNSPSCDes,MATCH(INDIRECT(ADDRESS(ROW(),COLUMN()-1,4)),UNSPSCCode,0)),IF(INDIRECT(ADDRESS(ROW(),COLUMN()-1,4))="30102303","Perfiles de hierro",""))</f>
        <v>Perfiles de hierro</v>
      </c>
      <c r="C561" s="42" t="str">
        <f>IFERROR(VLOOKUP("UD",'[1]Informacion '!P:Q,2,FALSE),"")</f>
        <v>Unidad</v>
      </c>
      <c r="D561" s="40">
        <v>10</v>
      </c>
      <c r="E561" s="43">
        <v>800</v>
      </c>
      <c r="F561" s="44">
        <f t="shared" ca="1" si="16"/>
        <v>8000</v>
      </c>
    </row>
    <row r="562" spans="1:6" x14ac:dyDescent="0.3">
      <c r="A562" s="40" t="s">
        <v>219</v>
      </c>
      <c r="B562" s="41" t="str">
        <f ca="1">IFERROR(INDEX(UNSPSCDes,MATCH(INDIRECT(ADDRESS(ROW(),COLUMN()-1,4)),UNSPSCCode,0)),IF(INDIRECT(ADDRESS(ROW(),COLUMN()-1,4))="30102303","Perfiles de hierro",""))</f>
        <v>Perfiles de hierro</v>
      </c>
      <c r="C562" s="42" t="str">
        <f>IFERROR(VLOOKUP("UD",'[1]Informacion '!P:Q,2,FALSE),"")</f>
        <v>Unidad</v>
      </c>
      <c r="D562" s="40">
        <v>10</v>
      </c>
      <c r="E562" s="43">
        <v>1600</v>
      </c>
      <c r="F562" s="44">
        <f t="shared" ca="1" si="16"/>
        <v>16000</v>
      </c>
    </row>
    <row r="563" spans="1:6" x14ac:dyDescent="0.3">
      <c r="A563" s="40" t="s">
        <v>219</v>
      </c>
      <c r="B563" s="41" t="str">
        <f ca="1">IFERROR(INDEX(UNSPSCDes,MATCH(INDIRECT(ADDRESS(ROW(),COLUMN()-1,4)),UNSPSCCode,0)),IF(INDIRECT(ADDRESS(ROW(),COLUMN()-1,4))="30102303","Perfiles de hierro",""))</f>
        <v>Perfiles de hierro</v>
      </c>
      <c r="C563" s="42" t="str">
        <f>IFERROR(VLOOKUP("UD",'[1]Informacion '!P:Q,2,FALSE),"")</f>
        <v>Unidad</v>
      </c>
      <c r="D563" s="40">
        <v>10</v>
      </c>
      <c r="E563" s="43">
        <v>2100</v>
      </c>
      <c r="F563" s="44">
        <f t="shared" ca="1" si="16"/>
        <v>21000</v>
      </c>
    </row>
    <row r="564" spans="1:6" x14ac:dyDescent="0.3">
      <c r="A564" s="40" t="s">
        <v>220</v>
      </c>
      <c r="B564" s="41" t="str">
        <f ca="1">IFERROR(INDEX(UNSPSCDes,MATCH(INDIRECT(ADDRESS(ROW(),COLUMN()-1,4)),UNSPSCCode,0)),IF(INDIRECT(ADDRESS(ROW(),COLUMN()-1,4))="30102001","Lámina de aleación ferrosa",""))</f>
        <v>Lámina de aleación ferrosa</v>
      </c>
      <c r="C564" s="42" t="str">
        <f>IFERROR(VLOOKUP("UD",'[1]Informacion '!P:Q,2,FALSE),"")</f>
        <v>Unidad</v>
      </c>
      <c r="D564" s="40">
        <v>100</v>
      </c>
      <c r="E564" s="43">
        <v>300</v>
      </c>
      <c r="F564" s="44">
        <f t="shared" ca="1" si="16"/>
        <v>30000</v>
      </c>
    </row>
    <row r="565" spans="1:6" x14ac:dyDescent="0.3">
      <c r="A565" s="40" t="s">
        <v>220</v>
      </c>
      <c r="B565" s="41" t="str">
        <f ca="1">IFERROR(INDEX(UNSPSCDes,MATCH(INDIRECT(ADDRESS(ROW(),COLUMN()-1,4)),UNSPSCCode,0)),IF(INDIRECT(ADDRESS(ROW(),COLUMN()-1,4))="30102001","Lámina de aleación ferrosa",""))</f>
        <v>Lámina de aleación ferrosa</v>
      </c>
      <c r="C565" s="42" t="str">
        <f>IFERROR(VLOOKUP("UD",'[1]Informacion '!P:Q,2,FALSE),"")</f>
        <v>Unidad</v>
      </c>
      <c r="D565" s="40">
        <v>12</v>
      </c>
      <c r="E565" s="43">
        <v>2800</v>
      </c>
      <c r="F565" s="44">
        <f t="shared" ca="1" si="16"/>
        <v>33600</v>
      </c>
    </row>
    <row r="566" spans="1:6" x14ac:dyDescent="0.3">
      <c r="A566" s="40" t="s">
        <v>221</v>
      </c>
      <c r="B566" s="41" t="str">
        <f ca="1">IFERROR(INDEX(UNSPSCDes,MATCH(INDIRECT(ADDRESS(ROW(),COLUMN()-1,4)),UNSPSCCode,0)),IF(INDIRECT(ADDRESS(ROW(),COLUMN()-1,4))="31161506","Tornillos para lámina metálica",""))</f>
        <v>Tornillos para lámina metálica</v>
      </c>
      <c r="C566" s="42" t="str">
        <f>IFERROR(VLOOKUP("UD",'[1]Informacion '!P:Q,2,FALSE),"")</f>
        <v>Unidad</v>
      </c>
      <c r="D566" s="40">
        <v>1000</v>
      </c>
      <c r="E566" s="43">
        <v>2</v>
      </c>
      <c r="F566" s="44">
        <f t="shared" ca="1" si="16"/>
        <v>2000</v>
      </c>
    </row>
    <row r="567" spans="1:6" x14ac:dyDescent="0.3">
      <c r="A567" s="40" t="s">
        <v>220</v>
      </c>
      <c r="B567" s="41" t="str">
        <f ca="1">IFERROR(INDEX(UNSPSCDes,MATCH(INDIRECT(ADDRESS(ROW(),COLUMN()-1,4)),UNSPSCCode,0)),IF(INDIRECT(ADDRESS(ROW(),COLUMN()-1,4))="30102001","Lámina de aleación ferrosa",""))</f>
        <v>Lámina de aleación ferrosa</v>
      </c>
      <c r="C567" s="42" t="str">
        <f>IFERROR(VLOOKUP("UD",'[1]Informacion '!P:Q,2,FALSE),"")</f>
        <v>Unidad</v>
      </c>
      <c r="D567" s="40">
        <v>12</v>
      </c>
      <c r="E567" s="43">
        <v>3500</v>
      </c>
      <c r="F567" s="44">
        <f t="shared" ca="1" si="16"/>
        <v>42000</v>
      </c>
    </row>
    <row r="568" spans="1:6" x14ac:dyDescent="0.3">
      <c r="A568" s="40" t="s">
        <v>222</v>
      </c>
      <c r="B568" s="41" t="str">
        <f ca="1">IFERROR(INDEX(UNSPSCDes,MATCH(INDIRECT(ADDRESS(ROW(),COLUMN()-1,4)),UNSPSCCode,0)),IF(INDIRECT(ADDRESS(ROW(),COLUMN()-1,4))="23171515","Electrodos para soldar",""))</f>
        <v>Electrodos para soldar</v>
      </c>
      <c r="C568" s="42" t="str">
        <f>IFERROR(VLOOKUP("LB",'[1]Informacion '!P:Q,2,FALSE),"")</f>
        <v>Libra </v>
      </c>
      <c r="D568" s="40">
        <v>50</v>
      </c>
      <c r="E568" s="43">
        <v>150</v>
      </c>
      <c r="F568" s="44">
        <f t="shared" ca="1" si="16"/>
        <v>7500</v>
      </c>
    </row>
    <row r="569" spans="1:6" x14ac:dyDescent="0.3">
      <c r="A569" s="40" t="s">
        <v>222</v>
      </c>
      <c r="B569" s="41" t="str">
        <f ca="1">IFERROR(INDEX(UNSPSCDes,MATCH(INDIRECT(ADDRESS(ROW(),COLUMN()-1,4)),UNSPSCCode,0)),IF(INDIRECT(ADDRESS(ROW(),COLUMN()-1,4))="23171515","Electrodos para soldar",""))</f>
        <v>Electrodos para soldar</v>
      </c>
      <c r="C569" s="42" t="str">
        <f>IFERROR(VLOOKUP("LB",'[1]Informacion '!P:Q,2,FALSE),"")</f>
        <v>Libra </v>
      </c>
      <c r="D569" s="40">
        <v>20</v>
      </c>
      <c r="E569" s="43">
        <v>150</v>
      </c>
      <c r="F569" s="44">
        <f t="shared" ca="1" si="16"/>
        <v>3000</v>
      </c>
    </row>
    <row r="570" spans="1:6" x14ac:dyDescent="0.3">
      <c r="A570" s="40" t="s">
        <v>223</v>
      </c>
      <c r="B570" s="41" t="str">
        <f ca="1">IFERROR(INDEX(UNSPSCDes,MATCH(INDIRECT(ADDRESS(ROW(),COLUMN()-1,4)),UNSPSCCode,0)),IF(INDIRECT(ADDRESS(ROW(),COLUMN()-1,4))="31191506","Discos abrasivos",""))</f>
        <v>Discos abrasivos</v>
      </c>
      <c r="C570" s="42" t="str">
        <f>IFERROR(VLOOKUP("UD",'[1]Informacion '!P:Q,2,FALSE),"")</f>
        <v>Unidad</v>
      </c>
      <c r="D570" s="40">
        <v>24</v>
      </c>
      <c r="E570" s="43">
        <v>300</v>
      </c>
      <c r="F570" s="44">
        <f t="shared" ca="1" si="16"/>
        <v>7200</v>
      </c>
    </row>
    <row r="571" spans="1:6" x14ac:dyDescent="0.3">
      <c r="A571" s="40" t="s">
        <v>223</v>
      </c>
      <c r="B571" s="41" t="str">
        <f ca="1">IFERROR(INDEX(UNSPSCDes,MATCH(INDIRECT(ADDRESS(ROW(),COLUMN()-1,4)),UNSPSCCode,0)),IF(INDIRECT(ADDRESS(ROW(),COLUMN()-1,4))="31191506","Discos abrasivos",""))</f>
        <v>Discos abrasivos</v>
      </c>
      <c r="C571" s="42" t="str">
        <f>IFERROR(VLOOKUP("UD",'[1]Informacion '!P:Q,2,FALSE),"")</f>
        <v>Unidad</v>
      </c>
      <c r="D571" s="40">
        <v>24</v>
      </c>
      <c r="E571" s="43">
        <v>280</v>
      </c>
      <c r="F571" s="44">
        <f t="shared" ca="1" si="16"/>
        <v>6720</v>
      </c>
    </row>
    <row r="572" spans="1:6" x14ac:dyDescent="0.3">
      <c r="A572" s="40" t="s">
        <v>224</v>
      </c>
      <c r="B572" s="41" t="str">
        <f ca="1">IFERROR(INDEX(UNSPSCDes,MATCH(INDIRECT(ADDRESS(ROW(),COLUMN()-1,4)),UNSPSCCode,0)),IF(INDIRECT(ADDRESS(ROW(),COLUMN()-1,4))="31162403","Goznes o bisagras",""))</f>
        <v>Goznes o bisagras</v>
      </c>
      <c r="C572" s="42" t="str">
        <f>IFERROR(VLOOKUP("UD",'[1]Informacion '!P:Q,2,FALSE),"")</f>
        <v>Unidad</v>
      </c>
      <c r="D572" s="40">
        <v>12</v>
      </c>
      <c r="E572" s="43">
        <v>80</v>
      </c>
      <c r="F572" s="44">
        <f t="shared" ca="1" si="16"/>
        <v>960</v>
      </c>
    </row>
    <row r="573" spans="1:6" x14ac:dyDescent="0.3">
      <c r="A573" s="30"/>
      <c r="B573" s="30"/>
      <c r="C573" s="30"/>
      <c r="D573" s="30"/>
      <c r="E573" s="45" t="s">
        <v>52</v>
      </c>
      <c r="F573" s="46">
        <f ca="1">SUM(Table32[MONTO TOTAL ESTIMADO])</f>
        <v>188980</v>
      </c>
    </row>
    <row r="574" spans="1:6" ht="15" thickBot="1" x14ac:dyDescent="0.35">
      <c r="A574" s="30"/>
      <c r="B574" s="30"/>
      <c r="C574" s="30"/>
      <c r="D574" s="30"/>
      <c r="E574" s="30"/>
      <c r="F574" s="30"/>
    </row>
    <row r="575" spans="1:6" ht="21" thickBot="1" x14ac:dyDescent="0.35">
      <c r="A575" s="31" t="s">
        <v>19</v>
      </c>
      <c r="B575" s="31" t="s">
        <v>20</v>
      </c>
      <c r="C575" s="31" t="s">
        <v>21</v>
      </c>
      <c r="D575" s="31" t="s">
        <v>22</v>
      </c>
      <c r="E575" s="31" t="s">
        <v>23</v>
      </c>
      <c r="F575" s="31" t="s">
        <v>24</v>
      </c>
    </row>
    <row r="576" spans="1:6" ht="21" thickBot="1" x14ac:dyDescent="0.35">
      <c r="A576" s="12" t="s">
        <v>225</v>
      </c>
      <c r="B576" s="12" t="s">
        <v>225</v>
      </c>
      <c r="C576" s="12" t="s">
        <v>27</v>
      </c>
      <c r="D576" s="12" t="s">
        <v>80</v>
      </c>
      <c r="E576" s="12" t="s">
        <v>59</v>
      </c>
      <c r="F576" s="12"/>
    </row>
    <row r="577" spans="1:6" ht="15" thickBot="1" x14ac:dyDescent="0.35">
      <c r="A577" s="32" t="s">
        <v>30</v>
      </c>
      <c r="B577" s="33" t="s">
        <v>31</v>
      </c>
      <c r="C577" s="34">
        <v>45679</v>
      </c>
      <c r="D577" s="32" t="s">
        <v>32</v>
      </c>
      <c r="E577" s="35" t="s">
        <v>33</v>
      </c>
      <c r="F577" s="36" t="s">
        <v>34</v>
      </c>
    </row>
    <row r="578" spans="1:6" ht="15" thickBot="1" x14ac:dyDescent="0.35">
      <c r="A578" s="37"/>
      <c r="B578" s="33" t="s">
        <v>35</v>
      </c>
      <c r="C578" s="38">
        <f>IF(C577="","",IF(AND(MONTH(C577)&gt;=1,MONTH(C577)&lt;=3),1,IF(AND(MONTH(C577)&gt;=4,MONTH(C577)&lt;=6),2,IF(AND(MONTH(C577)&gt;=7,MONTH(C577)&lt;=9),3,4))))</f>
        <v>1</v>
      </c>
      <c r="D578" s="37"/>
      <c r="E578" s="35" t="s">
        <v>36</v>
      </c>
      <c r="F578" s="36" t="s">
        <v>37</v>
      </c>
    </row>
    <row r="579" spans="1:6" ht="15" thickBot="1" x14ac:dyDescent="0.35">
      <c r="A579" s="37"/>
      <c r="B579" s="33" t="s">
        <v>38</v>
      </c>
      <c r="C579" s="34">
        <v>45684</v>
      </c>
      <c r="D579" s="37"/>
      <c r="E579" s="35" t="s">
        <v>39</v>
      </c>
      <c r="F579" s="36" t="s">
        <v>37</v>
      </c>
    </row>
    <row r="580" spans="1:6" ht="15" thickBot="1" x14ac:dyDescent="0.35">
      <c r="A580" s="37"/>
      <c r="B580" s="33" t="s">
        <v>35</v>
      </c>
      <c r="C580" s="38">
        <f>IF(C579="","",IF(AND(MONTH(C579)&gt;=1,MONTH(C579)&lt;=3),1,IF(AND(MONTH(C579)&gt;=4,MONTH(C579)&lt;=6),2,IF(AND(MONTH(C579)&gt;=7,MONTH(C579)&lt;=9),3,4))))</f>
        <v>1</v>
      </c>
      <c r="D580" s="37"/>
      <c r="E580" s="35" t="s">
        <v>40</v>
      </c>
      <c r="F580" s="36"/>
    </row>
    <row r="581" spans="1:6" ht="15" thickBot="1" x14ac:dyDescent="0.35">
      <c r="A581" s="30"/>
      <c r="B581" s="30"/>
      <c r="C581" s="30"/>
      <c r="D581" s="30"/>
      <c r="E581" s="30"/>
      <c r="F581" s="30"/>
    </row>
    <row r="582" spans="1:6" ht="15" thickBot="1" x14ac:dyDescent="0.35">
      <c r="A582" s="39" t="s">
        <v>41</v>
      </c>
      <c r="B582" s="39" t="s">
        <v>42</v>
      </c>
      <c r="C582" s="39" t="s">
        <v>43</v>
      </c>
      <c r="D582" s="39" t="s">
        <v>44</v>
      </c>
      <c r="E582" s="39" t="s">
        <v>45</v>
      </c>
      <c r="F582" s="39" t="s">
        <v>46</v>
      </c>
    </row>
    <row r="583" spans="1:6" x14ac:dyDescent="0.3">
      <c r="A583" s="40" t="s">
        <v>226</v>
      </c>
      <c r="B583" s="41" t="str">
        <f ca="1">IFERROR(INDEX(UNSPSCDes,MATCH(INDIRECT(ADDRESS(ROW(),COLUMN()-1,4)),UNSPSCCode,0)),IF(INDIRECT(ADDRESS(ROW(),COLUMN()-1,4))="40142115","Tubería de plástico",""))</f>
        <v>Tubería de plástico</v>
      </c>
      <c r="C583" s="42" t="str">
        <f>IFERROR(VLOOKUP("UD",'[1]Informacion '!P:Q,2,FALSE),"")</f>
        <v>Unidad</v>
      </c>
      <c r="D583" s="40">
        <v>10</v>
      </c>
      <c r="E583" s="43">
        <v>200</v>
      </c>
      <c r="F583" s="44">
        <f t="shared" ref="F583:F600" ca="1" si="17">INDIRECT(ADDRESS(ROW(),COLUMN()-2,4))*INDIRECT(ADDRESS(ROW(),COLUMN()-1,4))</f>
        <v>2000</v>
      </c>
    </row>
    <row r="584" spans="1:6" x14ac:dyDescent="0.3">
      <c r="A584" s="40" t="s">
        <v>226</v>
      </c>
      <c r="B584" s="41" t="str">
        <f ca="1">IFERROR(INDEX(UNSPSCDes,MATCH(INDIRECT(ADDRESS(ROW(),COLUMN()-1,4)),UNSPSCCode,0)),IF(INDIRECT(ADDRESS(ROW(),COLUMN()-1,4))="40142115","Tubería de plástico",""))</f>
        <v>Tubería de plástico</v>
      </c>
      <c r="C584" s="42" t="str">
        <f>IFERROR(VLOOKUP("UD",'[1]Informacion '!P:Q,2,FALSE),"")</f>
        <v>Unidad</v>
      </c>
      <c r="D584" s="40">
        <v>15</v>
      </c>
      <c r="E584" s="43">
        <v>30</v>
      </c>
      <c r="F584" s="44">
        <f t="shared" ca="1" si="17"/>
        <v>450</v>
      </c>
    </row>
    <row r="585" spans="1:6" x14ac:dyDescent="0.3">
      <c r="A585" s="40" t="s">
        <v>226</v>
      </c>
      <c r="B585" s="41" t="str">
        <f ca="1">IFERROR(INDEX(UNSPSCDes,MATCH(INDIRECT(ADDRESS(ROW(),COLUMN()-1,4)),UNSPSCCode,0)),IF(INDIRECT(ADDRESS(ROW(),COLUMN()-1,4))="40142115","Tubería de plástico",""))</f>
        <v>Tubería de plástico</v>
      </c>
      <c r="C585" s="42" t="str">
        <f>IFERROR(VLOOKUP("UD",'[1]Informacion '!P:Q,2,FALSE),"")</f>
        <v>Unidad</v>
      </c>
      <c r="D585" s="40">
        <v>12</v>
      </c>
      <c r="E585" s="43">
        <v>150</v>
      </c>
      <c r="F585" s="44">
        <f t="shared" ca="1" si="17"/>
        <v>1800</v>
      </c>
    </row>
    <row r="586" spans="1:6" x14ac:dyDescent="0.3">
      <c r="A586" s="40" t="s">
        <v>227</v>
      </c>
      <c r="B586" s="41" t="str">
        <f ca="1">IFERROR(INDEX(UNSPSCDes,MATCH(INDIRECT(ADDRESS(ROW(),COLUMN()-1,4)),UNSPSCCode,0)),IF(INDIRECT(ADDRESS(ROW(),COLUMN()-1,4))="40142317","Codo de tubería",""))</f>
        <v>Codo de tubería</v>
      </c>
      <c r="C586" s="42" t="str">
        <f>IFERROR(VLOOKUP("UD",'[1]Informacion '!P:Q,2,FALSE),"")</f>
        <v>Unidad</v>
      </c>
      <c r="D586" s="40">
        <v>30</v>
      </c>
      <c r="E586" s="43">
        <v>18</v>
      </c>
      <c r="F586" s="44">
        <f t="shared" ca="1" si="17"/>
        <v>540</v>
      </c>
    </row>
    <row r="587" spans="1:6" x14ac:dyDescent="0.3">
      <c r="A587" s="40" t="s">
        <v>227</v>
      </c>
      <c r="B587" s="41" t="str">
        <f ca="1">IFERROR(INDEX(UNSPSCDes,MATCH(INDIRECT(ADDRESS(ROW(),COLUMN()-1,4)),UNSPSCCode,0)),IF(INDIRECT(ADDRESS(ROW(),COLUMN()-1,4))="40142317","Codo de tubería",""))</f>
        <v>Codo de tubería</v>
      </c>
      <c r="C587" s="42" t="str">
        <f>IFERROR(VLOOKUP("UD",'[1]Informacion '!P:Q,2,FALSE),"")</f>
        <v>Unidad</v>
      </c>
      <c r="D587" s="40">
        <v>30</v>
      </c>
      <c r="E587" s="43">
        <v>35</v>
      </c>
      <c r="F587" s="44">
        <f t="shared" ca="1" si="17"/>
        <v>1050</v>
      </c>
    </row>
    <row r="588" spans="1:6" x14ac:dyDescent="0.3">
      <c r="A588" s="40" t="s">
        <v>227</v>
      </c>
      <c r="B588" s="41" t="str">
        <f ca="1">IFERROR(INDEX(UNSPSCDes,MATCH(INDIRECT(ADDRESS(ROW(),COLUMN()-1,4)),UNSPSCCode,0)),IF(INDIRECT(ADDRESS(ROW(),COLUMN()-1,4))="40142317","Codo de tubería",""))</f>
        <v>Codo de tubería</v>
      </c>
      <c r="C588" s="42" t="str">
        <f>IFERROR(VLOOKUP("UD",'[1]Informacion '!P:Q,2,FALSE),"")</f>
        <v>Unidad</v>
      </c>
      <c r="D588" s="40">
        <v>30</v>
      </c>
      <c r="E588" s="43">
        <v>45</v>
      </c>
      <c r="F588" s="44">
        <f t="shared" ca="1" si="17"/>
        <v>1350</v>
      </c>
    </row>
    <row r="589" spans="1:6" x14ac:dyDescent="0.3">
      <c r="A589" s="40" t="s">
        <v>227</v>
      </c>
      <c r="B589" s="41" t="str">
        <f ca="1">IFERROR(INDEX(UNSPSCDes,MATCH(INDIRECT(ADDRESS(ROW(),COLUMN()-1,4)),UNSPSCCode,0)),IF(INDIRECT(ADDRESS(ROW(),COLUMN()-1,4))="40142317","Codo de tubería",""))</f>
        <v>Codo de tubería</v>
      </c>
      <c r="C589" s="42" t="str">
        <f>IFERROR(VLOOKUP("UD",'[1]Informacion '!P:Q,2,FALSE),"")</f>
        <v>Unidad</v>
      </c>
      <c r="D589" s="40">
        <v>30</v>
      </c>
      <c r="E589" s="43">
        <v>40</v>
      </c>
      <c r="F589" s="44">
        <f t="shared" ca="1" si="17"/>
        <v>1200</v>
      </c>
    </row>
    <row r="590" spans="1:6" x14ac:dyDescent="0.3">
      <c r="A590" s="40" t="s">
        <v>82</v>
      </c>
      <c r="B590" s="41" t="str">
        <f ca="1">IFERROR(INDEX(UNSPSCDes,MATCH(INDIRECT(ADDRESS(ROW(),COLUMN()-1,4)),UNSPSCCode,0)),IF(INDIRECT(ADDRESS(ROW(),COLUMN()-1,4))="31201610","Pegamentos",""))</f>
        <v>Pegamentos</v>
      </c>
      <c r="C590" s="42" t="str">
        <f>IFERROR(VLOOKUP("UD",'[1]Informacion '!P:Q,2,FALSE),"")</f>
        <v>Unidad</v>
      </c>
      <c r="D590" s="40">
        <v>6</v>
      </c>
      <c r="E590" s="43">
        <v>900</v>
      </c>
      <c r="F590" s="44">
        <f t="shared" ca="1" si="17"/>
        <v>5400</v>
      </c>
    </row>
    <row r="591" spans="1:6" x14ac:dyDescent="0.3">
      <c r="A591" s="40" t="s">
        <v>82</v>
      </c>
      <c r="B591" s="41" t="str">
        <f ca="1">IFERROR(INDEX(UNSPSCDes,MATCH(INDIRECT(ADDRESS(ROW(),COLUMN()-1,4)),UNSPSCCode,0)),IF(INDIRECT(ADDRESS(ROW(),COLUMN()-1,4))="31201610","Pegamentos",""))</f>
        <v>Pegamentos</v>
      </c>
      <c r="C591" s="42" t="str">
        <f>IFERROR(VLOOKUP("UD",'[1]Informacion '!P:Q,2,FALSE),"")</f>
        <v>Unidad</v>
      </c>
      <c r="D591" s="40">
        <v>6</v>
      </c>
      <c r="E591" s="43">
        <v>500</v>
      </c>
      <c r="F591" s="44">
        <f t="shared" ca="1" si="17"/>
        <v>3000</v>
      </c>
    </row>
    <row r="592" spans="1:6" x14ac:dyDescent="0.3">
      <c r="A592" s="40" t="s">
        <v>228</v>
      </c>
      <c r="B592" s="41" t="str">
        <f ca="1">IFERROR(INDEX(UNSPSCDes,MATCH(INDIRECT(ADDRESS(ROW(),COLUMN()-1,4)),UNSPSCCode,0)),IF(INDIRECT(ADDRESS(ROW(),COLUMN()-1,4))="40142315","Acoplamientos de tubería",""))</f>
        <v>Acoplamientos de tubería</v>
      </c>
      <c r="C592" s="42" t="str">
        <f>IFERROR(VLOOKUP("UD",'[1]Informacion '!P:Q,2,FALSE),"")</f>
        <v>Unidad</v>
      </c>
      <c r="D592" s="40">
        <v>8</v>
      </c>
      <c r="E592" s="43">
        <v>25</v>
      </c>
      <c r="F592" s="44">
        <f t="shared" ca="1" si="17"/>
        <v>200</v>
      </c>
    </row>
    <row r="593" spans="1:6" x14ac:dyDescent="0.3">
      <c r="A593" s="40" t="s">
        <v>229</v>
      </c>
      <c r="B593" s="41" t="str">
        <f ca="1">IFERROR(INDEX(UNSPSCDes,MATCH(INDIRECT(ADDRESS(ROW(),COLUMN()-1,4)),UNSPSCCode,0)),IF(INDIRECT(ADDRESS(ROW(),COLUMN()-1,4))="47131705","Accesorios para urinales o inodoros",""))</f>
        <v>Accesorios para urinales o inodoros</v>
      </c>
      <c r="C593" s="42" t="str">
        <f>IFERROR(VLOOKUP("UD",'[1]Informacion '!P:Q,2,FALSE),"")</f>
        <v>Unidad</v>
      </c>
      <c r="D593" s="40">
        <v>12</v>
      </c>
      <c r="E593" s="43">
        <v>500</v>
      </c>
      <c r="F593" s="44">
        <f t="shared" ca="1" si="17"/>
        <v>6000</v>
      </c>
    </row>
    <row r="594" spans="1:6" x14ac:dyDescent="0.3">
      <c r="A594" s="40" t="s">
        <v>230</v>
      </c>
      <c r="B594" s="41" t="str">
        <f ca="1">IFERROR(INDEX(UNSPSCDes,MATCH(INDIRECT(ADDRESS(ROW(),COLUMN()-1,4)),UNSPSCCode,0)),IF(INDIRECT(ADDRESS(ROW(),COLUMN()-1,4))="40142320","Uniones de tubería",""))</f>
        <v>Uniones de tubería</v>
      </c>
      <c r="C594" s="42" t="str">
        <f>IFERROR(VLOOKUP("UD",'[1]Informacion '!P:Q,2,FALSE),"")</f>
        <v>Unidad</v>
      </c>
      <c r="D594" s="40">
        <v>12</v>
      </c>
      <c r="E594" s="43">
        <v>30</v>
      </c>
      <c r="F594" s="44">
        <f t="shared" ca="1" si="17"/>
        <v>360</v>
      </c>
    </row>
    <row r="595" spans="1:6" x14ac:dyDescent="0.3">
      <c r="A595" s="40" t="s">
        <v>231</v>
      </c>
      <c r="B595" s="41" t="str">
        <f ca="1">IFERROR(INDEX(UNSPSCDes,MATCH(INDIRECT(ADDRESS(ROW(),COLUMN()-1,4)),UNSPSCCode,0)),IF(INDIRECT(ADDRESS(ROW(),COLUMN()-1,4))="40142605","Piezas en T de tubo",""))</f>
        <v>Piezas en T de tubo</v>
      </c>
      <c r="C595" s="42" t="str">
        <f>IFERROR(VLOOKUP("UD",'[1]Informacion '!P:Q,2,FALSE),"")</f>
        <v>Unidad</v>
      </c>
      <c r="D595" s="40">
        <v>10</v>
      </c>
      <c r="E595" s="43">
        <v>20</v>
      </c>
      <c r="F595" s="44">
        <f t="shared" ca="1" si="17"/>
        <v>200</v>
      </c>
    </row>
    <row r="596" spans="1:6" x14ac:dyDescent="0.3">
      <c r="A596" s="40" t="s">
        <v>231</v>
      </c>
      <c r="B596" s="41" t="str">
        <f ca="1">IFERROR(INDEX(UNSPSCDes,MATCH(INDIRECT(ADDRESS(ROW(),COLUMN()-1,4)),UNSPSCCode,0)),IF(INDIRECT(ADDRESS(ROW(),COLUMN()-1,4))="40142605","Piezas en T de tubo",""))</f>
        <v>Piezas en T de tubo</v>
      </c>
      <c r="C596" s="42" t="str">
        <f>IFERROR(VLOOKUP("UD",'[1]Informacion '!P:Q,2,FALSE),"")</f>
        <v>Unidad</v>
      </c>
      <c r="D596" s="40">
        <v>10</v>
      </c>
      <c r="E596" s="43">
        <v>25</v>
      </c>
      <c r="F596" s="44">
        <f t="shared" ca="1" si="17"/>
        <v>250</v>
      </c>
    </row>
    <row r="597" spans="1:6" x14ac:dyDescent="0.3">
      <c r="A597" s="40" t="s">
        <v>232</v>
      </c>
      <c r="B597" s="41" t="str">
        <f ca="1">IFERROR(INDEX(UNSPSCDes,MATCH(INDIRECT(ADDRESS(ROW(),COLUMN()-1,4)),UNSPSCCode,0)),IF(INDIRECT(ADDRESS(ROW(),COLUMN()-1,4))="40141702","Grifos",""))</f>
        <v>Grifos</v>
      </c>
      <c r="C597" s="42" t="str">
        <f>IFERROR(VLOOKUP("UD",'[1]Informacion '!P:Q,2,FALSE),"")</f>
        <v>Unidad</v>
      </c>
      <c r="D597" s="40">
        <v>5</v>
      </c>
      <c r="E597" s="43">
        <v>250</v>
      </c>
      <c r="F597" s="44">
        <f t="shared" ca="1" si="17"/>
        <v>1250</v>
      </c>
    </row>
    <row r="598" spans="1:6" x14ac:dyDescent="0.3">
      <c r="A598" s="40" t="s">
        <v>233</v>
      </c>
      <c r="B598" s="41" t="str">
        <f ca="1">IFERROR(INDEX(UNSPSCDes,MATCH(INDIRECT(ADDRESS(ROW(),COLUMN()-1,4)),UNSPSCCode,0)),IF(INDIRECT(ADDRESS(ROW(),COLUMN()-1,4))="40141605","Válvulas solenoides",""))</f>
        <v>Válvulas solenoides</v>
      </c>
      <c r="C598" s="42" t="str">
        <f>IFERROR(VLOOKUP("UD",'[1]Informacion '!P:Q,2,FALSE),"")</f>
        <v>Unidad</v>
      </c>
      <c r="D598" s="40">
        <v>5</v>
      </c>
      <c r="E598" s="43">
        <v>200</v>
      </c>
      <c r="F598" s="44">
        <f t="shared" ca="1" si="17"/>
        <v>1000</v>
      </c>
    </row>
    <row r="599" spans="1:6" x14ac:dyDescent="0.3">
      <c r="A599" s="40" t="s">
        <v>234</v>
      </c>
      <c r="B599" s="41" t="str">
        <f ca="1">IFERROR(INDEX(UNSPSCDes,MATCH(INDIRECT(ADDRESS(ROW(),COLUMN()-1,4)),UNSPSCCode,0)),IF(INDIRECT(ADDRESS(ROW(),COLUMN()-1,4))="40142609","Tapones de tubo",""))</f>
        <v>Tapones de tubo</v>
      </c>
      <c r="C599" s="42" t="str">
        <f>IFERROR(VLOOKUP("UD",'[1]Informacion '!P:Q,2,FALSE),"")</f>
        <v>Unidad</v>
      </c>
      <c r="D599" s="40">
        <v>30</v>
      </c>
      <c r="E599" s="43">
        <v>35</v>
      </c>
      <c r="F599" s="44">
        <f t="shared" ca="1" si="17"/>
        <v>1050</v>
      </c>
    </row>
    <row r="600" spans="1:6" x14ac:dyDescent="0.3">
      <c r="A600" s="40" t="s">
        <v>230</v>
      </c>
      <c r="B600" s="41" t="str">
        <f ca="1">IFERROR(INDEX(UNSPSCDes,MATCH(INDIRECT(ADDRESS(ROW(),COLUMN()-1,4)),UNSPSCCode,0)),IF(INDIRECT(ADDRESS(ROW(),COLUMN()-1,4))="40142320","Uniones de tubería",""))</f>
        <v>Uniones de tubería</v>
      </c>
      <c r="C600" s="42" t="str">
        <f>IFERROR(VLOOKUP("UD",'[1]Informacion '!P:Q,2,FALSE),"")</f>
        <v>Unidad</v>
      </c>
      <c r="D600" s="40">
        <v>24</v>
      </c>
      <c r="E600" s="43">
        <v>25</v>
      </c>
      <c r="F600" s="44">
        <f t="shared" ca="1" si="17"/>
        <v>600</v>
      </c>
    </row>
    <row r="601" spans="1:6" x14ac:dyDescent="0.3">
      <c r="A601" s="30"/>
      <c r="B601" s="30"/>
      <c r="C601" s="30"/>
      <c r="D601" s="30"/>
      <c r="E601" s="45" t="s">
        <v>52</v>
      </c>
      <c r="F601" s="46">
        <f ca="1">SUM(Table33[MONTO TOTAL ESTIMADO])</f>
        <v>27700</v>
      </c>
    </row>
    <row r="602" spans="1:6" ht="15" thickBot="1" x14ac:dyDescent="0.35">
      <c r="A602" s="30"/>
      <c r="B602" s="30"/>
      <c r="C602" s="30"/>
      <c r="D602" s="30"/>
      <c r="E602" s="30"/>
      <c r="F602" s="30"/>
    </row>
    <row r="603" spans="1:6" ht="21" thickBot="1" x14ac:dyDescent="0.35">
      <c r="A603" s="31" t="s">
        <v>19</v>
      </c>
      <c r="B603" s="31" t="s">
        <v>20</v>
      </c>
      <c r="C603" s="31" t="s">
        <v>21</v>
      </c>
      <c r="D603" s="31" t="s">
        <v>22</v>
      </c>
      <c r="E603" s="31" t="s">
        <v>23</v>
      </c>
      <c r="F603" s="31" t="s">
        <v>24</v>
      </c>
    </row>
    <row r="604" spans="1:6" ht="21" thickBot="1" x14ac:dyDescent="0.35">
      <c r="A604" s="12" t="s">
        <v>235</v>
      </c>
      <c r="B604" s="12" t="s">
        <v>235</v>
      </c>
      <c r="C604" s="12" t="s">
        <v>27</v>
      </c>
      <c r="D604" s="12" t="s">
        <v>80</v>
      </c>
      <c r="E604" s="12" t="s">
        <v>59</v>
      </c>
      <c r="F604" s="12"/>
    </row>
    <row r="605" spans="1:6" ht="15" thickBot="1" x14ac:dyDescent="0.35">
      <c r="A605" s="32" t="s">
        <v>30</v>
      </c>
      <c r="B605" s="33" t="s">
        <v>31</v>
      </c>
      <c r="C605" s="34">
        <v>45685</v>
      </c>
      <c r="D605" s="32" t="s">
        <v>32</v>
      </c>
      <c r="E605" s="35" t="s">
        <v>33</v>
      </c>
      <c r="F605" s="36" t="s">
        <v>34</v>
      </c>
    </row>
    <row r="606" spans="1:6" ht="15" thickBot="1" x14ac:dyDescent="0.35">
      <c r="A606" s="37"/>
      <c r="B606" s="33" t="s">
        <v>35</v>
      </c>
      <c r="C606" s="38">
        <f>IF(C605="","",IF(AND(MONTH(C605)&gt;=1,MONTH(C605)&lt;=3),1,IF(AND(MONTH(C605)&gt;=4,MONTH(C605)&lt;=6),2,IF(AND(MONTH(C605)&gt;=7,MONTH(C605)&lt;=9),3,4))))</f>
        <v>1</v>
      </c>
      <c r="D606" s="37"/>
      <c r="E606" s="35" t="s">
        <v>36</v>
      </c>
      <c r="F606" s="36" t="s">
        <v>37</v>
      </c>
    </row>
    <row r="607" spans="1:6" ht="15" thickBot="1" x14ac:dyDescent="0.35">
      <c r="A607" s="37"/>
      <c r="B607" s="33" t="s">
        <v>38</v>
      </c>
      <c r="C607" s="34">
        <v>45687</v>
      </c>
      <c r="D607" s="37"/>
      <c r="E607" s="35" t="s">
        <v>39</v>
      </c>
      <c r="F607" s="36" t="s">
        <v>37</v>
      </c>
    </row>
    <row r="608" spans="1:6" ht="15" thickBot="1" x14ac:dyDescent="0.35">
      <c r="A608" s="37"/>
      <c r="B608" s="33" t="s">
        <v>35</v>
      </c>
      <c r="C608" s="38">
        <f>IF(C607="","",IF(AND(MONTH(C607)&gt;=1,MONTH(C607)&lt;=3),1,IF(AND(MONTH(C607)&gt;=4,MONTH(C607)&lt;=6),2,IF(AND(MONTH(C607)&gt;=7,MONTH(C607)&lt;=9),3,4))))</f>
        <v>1</v>
      </c>
      <c r="D608" s="37"/>
      <c r="E608" s="35" t="s">
        <v>40</v>
      </c>
      <c r="F608" s="36"/>
    </row>
    <row r="609" spans="1:6" ht="15" thickBot="1" x14ac:dyDescent="0.35">
      <c r="A609" s="30"/>
      <c r="B609" s="30"/>
      <c r="C609" s="30"/>
      <c r="D609" s="30"/>
      <c r="E609" s="30"/>
      <c r="F609" s="30"/>
    </row>
    <row r="610" spans="1:6" ht="15" thickBot="1" x14ac:dyDescent="0.35">
      <c r="A610" s="39" t="s">
        <v>41</v>
      </c>
      <c r="B610" s="39" t="s">
        <v>42</v>
      </c>
      <c r="C610" s="39" t="s">
        <v>43</v>
      </c>
      <c r="D610" s="39" t="s">
        <v>44</v>
      </c>
      <c r="E610" s="39" t="s">
        <v>45</v>
      </c>
      <c r="F610" s="39" t="s">
        <v>46</v>
      </c>
    </row>
    <row r="611" spans="1:6" x14ac:dyDescent="0.3">
      <c r="A611" s="40" t="s">
        <v>236</v>
      </c>
      <c r="B611" s="41" t="str">
        <f ca="1">IFERROR(INDEX(UNSPSCDes,MATCH(INDIRECT(ADDRESS(ROW(),COLUMN()-1,4)),UNSPSCCode,0)),IF(INDIRECT(ADDRESS(ROW(),COLUMN()-1,4))="39101601","Lámparas halógenas",""))</f>
        <v>Lámparas halógenas</v>
      </c>
      <c r="C611" s="42" t="str">
        <f>IFERROR(VLOOKUP("UD",'[1]Informacion '!P:Q,2,FALSE),"")</f>
        <v>Unidad</v>
      </c>
      <c r="D611" s="40">
        <v>3</v>
      </c>
      <c r="E611" s="43">
        <v>1500</v>
      </c>
      <c r="F611" s="44">
        <f t="shared" ref="F611:F626" ca="1" si="18">INDIRECT(ADDRESS(ROW(),COLUMN()-2,4))*INDIRECT(ADDRESS(ROW(),COLUMN()-1,4))</f>
        <v>4500</v>
      </c>
    </row>
    <row r="612" spans="1:6" x14ac:dyDescent="0.3">
      <c r="A612" s="40" t="s">
        <v>236</v>
      </c>
      <c r="B612" s="41" t="str">
        <f ca="1">IFERROR(INDEX(UNSPSCDes,MATCH(INDIRECT(ADDRESS(ROW(),COLUMN()-1,4)),UNSPSCCode,0)),IF(INDIRECT(ADDRESS(ROW(),COLUMN()-1,4))="39101601","Lámparas halógenas",""))</f>
        <v>Lámparas halógenas</v>
      </c>
      <c r="C612" s="42" t="str">
        <f>IFERROR(VLOOKUP("UD",'[1]Informacion '!P:Q,2,FALSE),"")</f>
        <v>Unidad</v>
      </c>
      <c r="D612" s="40">
        <v>3</v>
      </c>
      <c r="E612" s="43">
        <v>1500</v>
      </c>
      <c r="F612" s="44">
        <f t="shared" ca="1" si="18"/>
        <v>4500</v>
      </c>
    </row>
    <row r="613" spans="1:6" x14ac:dyDescent="0.3">
      <c r="A613" s="40" t="s">
        <v>237</v>
      </c>
      <c r="B613" s="41" t="str">
        <f ca="1">IFERROR(INDEX(UNSPSCDes,MATCH(INDIRECT(ADDRESS(ROW(),COLUMN()-1,4)),UNSPSCCode,0)),IF(INDIRECT(ADDRESS(ROW(),COLUMN()-1,4))="39121529","Contactores",""))</f>
        <v>Contactores</v>
      </c>
      <c r="C613" s="42" t="str">
        <f>IFERROR(VLOOKUP("UD",'[1]Informacion '!P:Q,2,FALSE),"")</f>
        <v>Unidad</v>
      </c>
      <c r="D613" s="40">
        <v>3</v>
      </c>
      <c r="E613" s="43">
        <v>450</v>
      </c>
      <c r="F613" s="44">
        <f t="shared" ca="1" si="18"/>
        <v>1350</v>
      </c>
    </row>
    <row r="614" spans="1:6" x14ac:dyDescent="0.3">
      <c r="A614" s="40" t="s">
        <v>238</v>
      </c>
      <c r="B614" s="41" t="str">
        <f ca="1">IFERROR(INDEX(UNSPSCDes,MATCH(INDIRECT(ADDRESS(ROW(),COLUMN()-1,4)),UNSPSCCode,0)),IF(INDIRECT(ADDRESS(ROW(),COLUMN()-1,4))="39121601","Breakers de circuito",""))</f>
        <v>Breakers de circuito</v>
      </c>
      <c r="C614" s="42" t="str">
        <f>IFERROR(VLOOKUP("UD",'[1]Informacion '!P:Q,2,FALSE),"")</f>
        <v>Unidad</v>
      </c>
      <c r="D614" s="40">
        <v>2</v>
      </c>
      <c r="E614" s="43">
        <v>1500</v>
      </c>
      <c r="F614" s="44">
        <f t="shared" ca="1" si="18"/>
        <v>3000</v>
      </c>
    </row>
    <row r="615" spans="1:6" x14ac:dyDescent="0.3">
      <c r="A615" s="40" t="s">
        <v>238</v>
      </c>
      <c r="B615" s="41" t="str">
        <f ca="1">IFERROR(INDEX(UNSPSCDes,MATCH(INDIRECT(ADDRESS(ROW(),COLUMN()-1,4)),UNSPSCCode,0)),IF(INDIRECT(ADDRESS(ROW(),COLUMN()-1,4))="39121601","Breakers de circuito",""))</f>
        <v>Breakers de circuito</v>
      </c>
      <c r="C615" s="42" t="str">
        <f>IFERROR(VLOOKUP("UD",'[1]Informacion '!P:Q,2,FALSE),"")</f>
        <v>Unidad</v>
      </c>
      <c r="D615" s="40">
        <v>2</v>
      </c>
      <c r="E615" s="43">
        <v>3000</v>
      </c>
      <c r="F615" s="44">
        <f t="shared" ca="1" si="18"/>
        <v>6000</v>
      </c>
    </row>
    <row r="616" spans="1:6" x14ac:dyDescent="0.3">
      <c r="A616" s="40" t="s">
        <v>239</v>
      </c>
      <c r="B616" s="41" t="str">
        <f ca="1">IFERROR(INDEX(UNSPSCDes,MATCH(INDIRECT(ADDRESS(ROW(),COLUMN()-1,4)),UNSPSCCode,0)),IF(INDIRECT(ADDRESS(ROW(),COLUMN()-1,4))="39121535","Relés de control",""))</f>
        <v>Relés de control</v>
      </c>
      <c r="C616" s="42" t="str">
        <f>IFERROR(VLOOKUP("UD",'[1]Informacion '!P:Q,2,FALSE),"")</f>
        <v>Unidad</v>
      </c>
      <c r="D616" s="40">
        <v>2</v>
      </c>
      <c r="E616" s="43">
        <v>5000</v>
      </c>
      <c r="F616" s="44">
        <f t="shared" ca="1" si="18"/>
        <v>10000</v>
      </c>
    </row>
    <row r="617" spans="1:6" x14ac:dyDescent="0.3">
      <c r="A617" s="40" t="s">
        <v>239</v>
      </c>
      <c r="B617" s="41" t="str">
        <f ca="1">IFERROR(INDEX(UNSPSCDes,MATCH(INDIRECT(ADDRESS(ROW(),COLUMN()-1,4)),UNSPSCCode,0)),IF(INDIRECT(ADDRESS(ROW(),COLUMN()-1,4))="39121535","Relés de control",""))</f>
        <v>Relés de control</v>
      </c>
      <c r="C617" s="42" t="str">
        <f>IFERROR(VLOOKUP("UD",'[1]Informacion '!P:Q,2,FALSE),"")</f>
        <v>Unidad</v>
      </c>
      <c r="D617" s="40">
        <v>2</v>
      </c>
      <c r="E617" s="43">
        <v>5000</v>
      </c>
      <c r="F617" s="44">
        <f t="shared" ca="1" si="18"/>
        <v>10000</v>
      </c>
    </row>
    <row r="618" spans="1:6" x14ac:dyDescent="0.3">
      <c r="A618" s="40" t="s">
        <v>240</v>
      </c>
      <c r="B618" s="41" t="str">
        <f ca="1">IFERROR(INDEX(UNSPSCDes,MATCH(INDIRECT(ADDRESS(ROW(),COLUMN()-1,4)),UNSPSCCode,0)),IF(INDIRECT(ADDRESS(ROW(),COLUMN()-1,4))="60104912","Alambres o cables eléctricos",""))</f>
        <v>Alambres o cables eléctricos</v>
      </c>
      <c r="C618" s="42" t="str">
        <f>IFERROR(VLOOKUP("FT",'[1]Informacion '!P:Q,2,FALSE),"")</f>
        <v>Pie</v>
      </c>
      <c r="D618" s="40">
        <v>500</v>
      </c>
      <c r="E618" s="43">
        <v>75</v>
      </c>
      <c r="F618" s="44">
        <f t="shared" ca="1" si="18"/>
        <v>37500</v>
      </c>
    </row>
    <row r="619" spans="1:6" x14ac:dyDescent="0.3">
      <c r="A619" s="40" t="s">
        <v>240</v>
      </c>
      <c r="B619" s="41" t="str">
        <f ca="1">IFERROR(INDEX(UNSPSCDes,MATCH(INDIRECT(ADDRESS(ROW(),COLUMN()-1,4)),UNSPSCCode,0)),IF(INDIRECT(ADDRESS(ROW(),COLUMN()-1,4))="60104912","Alambres o cables eléctricos",""))</f>
        <v>Alambres o cables eléctricos</v>
      </c>
      <c r="C619" s="42" t="str">
        <f>IFERROR(VLOOKUP("FT",'[1]Informacion '!P:Q,2,FALSE),"")</f>
        <v>Pie</v>
      </c>
      <c r="D619" s="40">
        <v>500</v>
      </c>
      <c r="E619" s="43">
        <v>85</v>
      </c>
      <c r="F619" s="44">
        <f t="shared" ca="1" si="18"/>
        <v>42500</v>
      </c>
    </row>
    <row r="620" spans="1:6" x14ac:dyDescent="0.3">
      <c r="A620" s="40" t="s">
        <v>241</v>
      </c>
      <c r="B620" s="41" t="str">
        <f ca="1">IFERROR(INDEX(UNSPSCDes,MATCH(INDIRECT(ADDRESS(ROW(),COLUMN()-1,4)),UNSPSCCode,0)),IF(INDIRECT(ADDRESS(ROW(),COLUMN()-1,4))="39121308","Cajas de toma de corriente",""))</f>
        <v>Cajas de toma de corriente</v>
      </c>
      <c r="C620" s="42" t="str">
        <f>IFERROR(VLOOKUP("UD",'[1]Informacion '!P:Q,2,FALSE),"")</f>
        <v>Unidad</v>
      </c>
      <c r="D620" s="40">
        <v>36</v>
      </c>
      <c r="E620" s="43">
        <v>30</v>
      </c>
      <c r="F620" s="44">
        <f t="shared" ca="1" si="18"/>
        <v>1080</v>
      </c>
    </row>
    <row r="621" spans="1:6" x14ac:dyDescent="0.3">
      <c r="A621" s="40" t="s">
        <v>242</v>
      </c>
      <c r="B621" s="41" t="str">
        <f ca="1">IFERROR(INDEX(UNSPSCDes,MATCH(INDIRECT(ADDRESS(ROW(),COLUMN()-1,4)),UNSPSCCode,0)),IF(INDIRECT(ADDRESS(ROW(),COLUMN()-1,4))="39121549","Termostato",""))</f>
        <v>Termostato</v>
      </c>
      <c r="C621" s="42" t="str">
        <f>IFERROR(VLOOKUP("UD",'[1]Informacion '!P:Q,2,FALSE),"")</f>
        <v>Unidad</v>
      </c>
      <c r="D621" s="40">
        <v>6</v>
      </c>
      <c r="E621" s="43">
        <v>450</v>
      </c>
      <c r="F621" s="44">
        <f t="shared" ca="1" si="18"/>
        <v>2700</v>
      </c>
    </row>
    <row r="622" spans="1:6" x14ac:dyDescent="0.3">
      <c r="A622" s="40" t="s">
        <v>242</v>
      </c>
      <c r="B622" s="41" t="str">
        <f ca="1">IFERROR(INDEX(UNSPSCDes,MATCH(INDIRECT(ADDRESS(ROW(),COLUMN()-1,4)),UNSPSCCode,0)),IF(INDIRECT(ADDRESS(ROW(),COLUMN()-1,4))="39121549","Termostato",""))</f>
        <v>Termostato</v>
      </c>
      <c r="C622" s="42" t="str">
        <f>IFERROR(VLOOKUP("UD",'[1]Informacion '!P:Q,2,FALSE),"")</f>
        <v>Unidad</v>
      </c>
      <c r="D622" s="40">
        <v>6</v>
      </c>
      <c r="E622" s="43">
        <v>150</v>
      </c>
      <c r="F622" s="44">
        <f t="shared" ca="1" si="18"/>
        <v>900</v>
      </c>
    </row>
    <row r="623" spans="1:6" x14ac:dyDescent="0.3">
      <c r="A623" s="40" t="s">
        <v>243</v>
      </c>
      <c r="B623" s="41" t="str">
        <f ca="1">IFERROR(INDEX(UNSPSCDes,MATCH(INDIRECT(ADDRESS(ROW(),COLUMN()-1,4)),UNSPSCCode,0)),IF(INDIRECT(ADDRESS(ROW(),COLUMN()-1,4))="32121501","Capacitores fijos",""))</f>
        <v>Capacitores fijos</v>
      </c>
      <c r="C623" s="42" t="str">
        <f>IFERROR(VLOOKUP("UD",'[1]Informacion '!P:Q,2,FALSE),"")</f>
        <v>Unidad</v>
      </c>
      <c r="D623" s="40">
        <v>3</v>
      </c>
      <c r="E623" s="43">
        <v>230</v>
      </c>
      <c r="F623" s="44">
        <f t="shared" ca="1" si="18"/>
        <v>690</v>
      </c>
    </row>
    <row r="624" spans="1:6" x14ac:dyDescent="0.3">
      <c r="A624" s="40" t="s">
        <v>243</v>
      </c>
      <c r="B624" s="41" t="str">
        <f ca="1">IFERROR(INDEX(UNSPSCDes,MATCH(INDIRECT(ADDRESS(ROW(),COLUMN()-1,4)),UNSPSCCode,0)),IF(INDIRECT(ADDRESS(ROW(),COLUMN()-1,4))="32121501","Capacitores fijos",""))</f>
        <v>Capacitores fijos</v>
      </c>
      <c r="C624" s="42" t="str">
        <f>IFERROR(VLOOKUP("UD",'[1]Informacion '!P:Q,2,FALSE),"")</f>
        <v>Unidad</v>
      </c>
      <c r="D624" s="40">
        <v>3</v>
      </c>
      <c r="E624" s="43">
        <v>230</v>
      </c>
      <c r="F624" s="44">
        <f t="shared" ca="1" si="18"/>
        <v>690</v>
      </c>
    </row>
    <row r="625" spans="1:6" x14ac:dyDescent="0.3">
      <c r="A625" s="40" t="s">
        <v>244</v>
      </c>
      <c r="B625" s="41" t="str">
        <f ca="1">IFERROR(INDEX(UNSPSCDes,MATCH(INDIRECT(ADDRESS(ROW(),COLUMN()-1,4)),UNSPSCCode,0)),IF(INDIRECT(ADDRESS(ROW(),COLUMN()-1,4))="31201502","Cinta aislante eléctrica",""))</f>
        <v>Cinta aislante eléctrica</v>
      </c>
      <c r="C625" s="42" t="str">
        <f>IFERROR(VLOOKUP("UD",'[1]Informacion '!P:Q,2,FALSE),"")</f>
        <v>Unidad</v>
      </c>
      <c r="D625" s="40">
        <v>24</v>
      </c>
      <c r="E625" s="43">
        <v>100</v>
      </c>
      <c r="F625" s="44">
        <f t="shared" ca="1" si="18"/>
        <v>2400</v>
      </c>
    </row>
    <row r="626" spans="1:6" x14ac:dyDescent="0.3">
      <c r="A626" s="40" t="s">
        <v>244</v>
      </c>
      <c r="B626" s="41" t="str">
        <f ca="1">IFERROR(INDEX(UNSPSCDes,MATCH(INDIRECT(ADDRESS(ROW(),COLUMN()-1,4)),UNSPSCCode,0)),IF(INDIRECT(ADDRESS(ROW(),COLUMN()-1,4))="31201502","Cinta aislante eléctrica",""))</f>
        <v>Cinta aislante eléctrica</v>
      </c>
      <c r="C626" s="42" t="str">
        <f>IFERROR(VLOOKUP("UD",'[1]Informacion '!P:Q,2,FALSE),"")</f>
        <v>Unidad</v>
      </c>
      <c r="D626" s="40">
        <v>12</v>
      </c>
      <c r="E626" s="43">
        <v>100</v>
      </c>
      <c r="F626" s="44">
        <f t="shared" ca="1" si="18"/>
        <v>1200</v>
      </c>
    </row>
    <row r="627" spans="1:6" x14ac:dyDescent="0.3">
      <c r="A627" s="30"/>
      <c r="B627" s="30"/>
      <c r="C627" s="30"/>
      <c r="D627" s="30"/>
      <c r="E627" s="45" t="s">
        <v>52</v>
      </c>
      <c r="F627" s="46">
        <f ca="1">SUM(Table34[MONTO TOTAL ESTIMADO])</f>
        <v>129010</v>
      </c>
    </row>
    <row r="628" spans="1:6" ht="15" thickBot="1" x14ac:dyDescent="0.35">
      <c r="A628" s="30"/>
      <c r="B628" s="30"/>
      <c r="C628" s="30"/>
      <c r="D628" s="30"/>
      <c r="E628" s="30"/>
      <c r="F628" s="30"/>
    </row>
    <row r="629" spans="1:6" ht="21" thickBot="1" x14ac:dyDescent="0.35">
      <c r="A629" s="31" t="s">
        <v>19</v>
      </c>
      <c r="B629" s="31" t="s">
        <v>20</v>
      </c>
      <c r="C629" s="31" t="s">
        <v>21</v>
      </c>
      <c r="D629" s="31" t="s">
        <v>22</v>
      </c>
      <c r="E629" s="31" t="s">
        <v>23</v>
      </c>
      <c r="F629" s="31" t="s">
        <v>24</v>
      </c>
    </row>
    <row r="630" spans="1:6" ht="31.2" thickBot="1" x14ac:dyDescent="0.35">
      <c r="A630" s="12" t="s">
        <v>245</v>
      </c>
      <c r="B630" s="12" t="s">
        <v>245</v>
      </c>
      <c r="C630" s="12" t="s">
        <v>27</v>
      </c>
      <c r="D630" s="12" t="s">
        <v>28</v>
      </c>
      <c r="E630" s="12" t="s">
        <v>59</v>
      </c>
      <c r="F630" s="12"/>
    </row>
    <row r="631" spans="1:6" ht="15" thickBot="1" x14ac:dyDescent="0.35">
      <c r="A631" s="32" t="s">
        <v>30</v>
      </c>
      <c r="B631" s="33" t="s">
        <v>31</v>
      </c>
      <c r="C631" s="34">
        <v>45698</v>
      </c>
      <c r="D631" s="32" t="s">
        <v>32</v>
      </c>
      <c r="E631" s="35" t="s">
        <v>33</v>
      </c>
      <c r="F631" s="36" t="s">
        <v>34</v>
      </c>
    </row>
    <row r="632" spans="1:6" ht="15" thickBot="1" x14ac:dyDescent="0.35">
      <c r="A632" s="37"/>
      <c r="B632" s="33" t="s">
        <v>35</v>
      </c>
      <c r="C632" s="38">
        <f>IF(C631="","",IF(AND(MONTH(C631)&gt;=1,MONTH(C631)&lt;=3),1,IF(AND(MONTH(C631)&gt;=4,MONTH(C631)&lt;=6),2,IF(AND(MONTH(C631)&gt;=7,MONTH(C631)&lt;=9),3,4))))</f>
        <v>1</v>
      </c>
      <c r="D632" s="37"/>
      <c r="E632" s="35" t="s">
        <v>36</v>
      </c>
      <c r="F632" s="36" t="s">
        <v>37</v>
      </c>
    </row>
    <row r="633" spans="1:6" ht="15" thickBot="1" x14ac:dyDescent="0.35">
      <c r="A633" s="37"/>
      <c r="B633" s="33" t="s">
        <v>38</v>
      </c>
      <c r="C633" s="34">
        <v>45705</v>
      </c>
      <c r="D633" s="37"/>
      <c r="E633" s="35" t="s">
        <v>39</v>
      </c>
      <c r="F633" s="36" t="s">
        <v>37</v>
      </c>
    </row>
    <row r="634" spans="1:6" ht="15" thickBot="1" x14ac:dyDescent="0.35">
      <c r="A634" s="37"/>
      <c r="B634" s="33" t="s">
        <v>35</v>
      </c>
      <c r="C634" s="38">
        <f>IF(C633="","",IF(AND(MONTH(C633)&gt;=1,MONTH(C633)&lt;=3),1,IF(AND(MONTH(C633)&gt;=4,MONTH(C633)&lt;=6),2,IF(AND(MONTH(C633)&gt;=7,MONTH(C633)&lt;=9),3,4))))</f>
        <v>1</v>
      </c>
      <c r="D634" s="37"/>
      <c r="E634" s="35" t="s">
        <v>40</v>
      </c>
      <c r="F634" s="36"/>
    </row>
    <row r="635" spans="1:6" ht="15" thickBot="1" x14ac:dyDescent="0.35">
      <c r="A635" s="30"/>
      <c r="B635" s="30"/>
      <c r="C635" s="30"/>
      <c r="D635" s="30"/>
      <c r="E635" s="30"/>
      <c r="F635" s="30"/>
    </row>
    <row r="636" spans="1:6" ht="15" thickBot="1" x14ac:dyDescent="0.35">
      <c r="A636" s="39" t="s">
        <v>41</v>
      </c>
      <c r="B636" s="39" t="s">
        <v>42</v>
      </c>
      <c r="C636" s="39" t="s">
        <v>43</v>
      </c>
      <c r="D636" s="39" t="s">
        <v>44</v>
      </c>
      <c r="E636" s="39" t="s">
        <v>45</v>
      </c>
      <c r="F636" s="39" t="s">
        <v>46</v>
      </c>
    </row>
    <row r="637" spans="1:6" x14ac:dyDescent="0.3">
      <c r="A637" s="40" t="s">
        <v>246</v>
      </c>
      <c r="B637" s="41" t="str">
        <f ca="1">IFERROR(INDEX(UNSPSCDes,MATCH(INDIRECT(ADDRESS(ROW(),COLUMN()-1,4)),UNSPSCCode,0)),IF(INDIRECT(ADDRESS(ROW(),COLUMN()-1,4))="46171501","Candados",""))</f>
        <v>Candados</v>
      </c>
      <c r="C637" s="42" t="str">
        <f>IFERROR(VLOOKUP("UD",'[1]Informacion '!P:Q,2,FALSE),"")</f>
        <v>Unidad</v>
      </c>
      <c r="D637" s="40">
        <v>10</v>
      </c>
      <c r="E637" s="43">
        <v>800</v>
      </c>
      <c r="F637" s="44">
        <f t="shared" ref="F637:F682" ca="1" si="19">INDIRECT(ADDRESS(ROW(),COLUMN()-2,4))*INDIRECT(ADDRESS(ROW(),COLUMN()-1,4))</f>
        <v>8000</v>
      </c>
    </row>
    <row r="638" spans="1:6" x14ac:dyDescent="0.3">
      <c r="A638" s="40" t="s">
        <v>246</v>
      </c>
      <c r="B638" s="41" t="str">
        <f ca="1">IFERROR(INDEX(UNSPSCDes,MATCH(INDIRECT(ADDRESS(ROW(),COLUMN()-1,4)),UNSPSCCode,0)),IF(INDIRECT(ADDRESS(ROW(),COLUMN()-1,4))="46171501","Candados",""))</f>
        <v>Candados</v>
      </c>
      <c r="C638" s="42" t="str">
        <f>IFERROR(VLOOKUP("UD",'[1]Informacion '!P:Q,2,FALSE),"")</f>
        <v>Unidad</v>
      </c>
      <c r="D638" s="40">
        <v>10</v>
      </c>
      <c r="E638" s="43">
        <v>1000</v>
      </c>
      <c r="F638" s="44">
        <f t="shared" ca="1" si="19"/>
        <v>10000</v>
      </c>
    </row>
    <row r="639" spans="1:6" x14ac:dyDescent="0.3">
      <c r="A639" s="40" t="s">
        <v>82</v>
      </c>
      <c r="B639" s="41" t="str">
        <f ca="1">IFERROR(INDEX(UNSPSCDes,MATCH(INDIRECT(ADDRESS(ROW(),COLUMN()-1,4)),UNSPSCCode,0)),IF(INDIRECT(ADDRESS(ROW(),COLUMN()-1,4))="31201610","Pegamentos",""))</f>
        <v>Pegamentos</v>
      </c>
      <c r="C639" s="42" t="str">
        <f>IFERROR(VLOOKUP("UD",'[1]Informacion '!P:Q,2,FALSE),"")</f>
        <v>Unidad</v>
      </c>
      <c r="D639" s="40">
        <v>3</v>
      </c>
      <c r="E639" s="43">
        <v>950</v>
      </c>
      <c r="F639" s="44">
        <f t="shared" ca="1" si="19"/>
        <v>2850</v>
      </c>
    </row>
    <row r="640" spans="1:6" x14ac:dyDescent="0.3">
      <c r="A640" s="40" t="s">
        <v>247</v>
      </c>
      <c r="B640" s="41" t="str">
        <f ca="1">IFERROR(INDEX(UNSPSCDes,MATCH(INDIRECT(ADDRESS(ROW(),COLUMN()-1,4)),UNSPSCCode,0)),IF(INDIRECT(ADDRESS(ROW(),COLUMN()-1,4))="11101502","Lija o esmeril",""))</f>
        <v>Lija o esmeril</v>
      </c>
      <c r="C640" s="42" t="str">
        <f>IFERROR(VLOOKUP("UD",'[1]Informacion '!P:Q,2,FALSE),"")</f>
        <v>Unidad</v>
      </c>
      <c r="D640" s="40">
        <v>20</v>
      </c>
      <c r="E640" s="43">
        <v>75</v>
      </c>
      <c r="F640" s="44">
        <f t="shared" ca="1" si="19"/>
        <v>1500</v>
      </c>
    </row>
    <row r="641" spans="1:6" x14ac:dyDescent="0.3">
      <c r="A641" s="40" t="s">
        <v>247</v>
      </c>
      <c r="B641" s="41" t="str">
        <f ca="1">IFERROR(INDEX(UNSPSCDes,MATCH(INDIRECT(ADDRESS(ROW(),COLUMN()-1,4)),UNSPSCCode,0)),IF(INDIRECT(ADDRESS(ROW(),COLUMN()-1,4))="11101502","Lija o esmeril",""))</f>
        <v>Lija o esmeril</v>
      </c>
      <c r="C641" s="42" t="str">
        <f>IFERROR(VLOOKUP("UD",'[1]Informacion '!P:Q,2,FALSE),"")</f>
        <v>Unidad</v>
      </c>
      <c r="D641" s="40">
        <v>20</v>
      </c>
      <c r="E641" s="43">
        <v>50</v>
      </c>
      <c r="F641" s="44">
        <f t="shared" ca="1" si="19"/>
        <v>1000</v>
      </c>
    </row>
    <row r="642" spans="1:6" x14ac:dyDescent="0.3">
      <c r="A642" s="40" t="s">
        <v>248</v>
      </c>
      <c r="B642" s="41" t="str">
        <f ca="1">IFERROR(INDEX(UNSPSCDes,MATCH(INDIRECT(ADDRESS(ROW(),COLUMN()-1,4)),UNSPSCCode,0)),IF(INDIRECT(ADDRESS(ROW(),COLUMN()-1,4))="12181601","Aceites sintéticos",""))</f>
        <v>Aceites sintéticos</v>
      </c>
      <c r="C642" s="42" t="str">
        <f>IFERROR(VLOOKUP("GAL",'[1]Informacion '!P:Q,2,FALSE),"")</f>
        <v>Galón</v>
      </c>
      <c r="D642" s="40">
        <v>2</v>
      </c>
      <c r="E642" s="43">
        <v>2500</v>
      </c>
      <c r="F642" s="44">
        <f t="shared" ca="1" si="19"/>
        <v>5000</v>
      </c>
    </row>
    <row r="643" spans="1:6" x14ac:dyDescent="0.3">
      <c r="A643" s="40" t="s">
        <v>249</v>
      </c>
      <c r="B643" s="41" t="str">
        <f ca="1">IFERROR(INDEX(UNSPSCDes,MATCH(INDIRECT(ADDRESS(ROW(),COLUMN()-1,4)),UNSPSCCode,0)),IF(INDIRECT(ADDRESS(ROW(),COLUMN()-1,4))="31211803","Diluyentes para pinturas y barnices",""))</f>
        <v>Diluyentes para pinturas y barnices</v>
      </c>
      <c r="C643" s="42" t="str">
        <f>IFERROR(VLOOKUP("UD",'[1]Informacion '!P:Q,2,FALSE),"")</f>
        <v>Unidad</v>
      </c>
      <c r="D643" s="40">
        <v>2</v>
      </c>
      <c r="E643" s="43">
        <v>500</v>
      </c>
      <c r="F643" s="44">
        <f t="shared" ca="1" si="19"/>
        <v>1000</v>
      </c>
    </row>
    <row r="644" spans="1:6" x14ac:dyDescent="0.3">
      <c r="A644" s="40" t="s">
        <v>250</v>
      </c>
      <c r="B644" s="41" t="str">
        <f t="shared" ref="B644:B649" ca="1" si="20">IFERROR(INDEX(UNSPSCDes,MATCH(INDIRECT(ADDRESS(ROW(),COLUMN()-1,4)),UNSPSCCode,0)),IF(INDIRECT(ADDRESS(ROW(),COLUMN()-1,4))="31211508","Pinturas acrílicas",""))</f>
        <v>Pinturas acrílicas</v>
      </c>
      <c r="C644" s="42" t="str">
        <f>IFERROR(VLOOKUP("GAL",'[1]Informacion '!P:Q,2,FALSE),"")</f>
        <v>Galón</v>
      </c>
      <c r="D644" s="40">
        <v>15</v>
      </c>
      <c r="E644" s="43">
        <v>1250</v>
      </c>
      <c r="F644" s="44">
        <f t="shared" ca="1" si="19"/>
        <v>18750</v>
      </c>
    </row>
    <row r="645" spans="1:6" x14ac:dyDescent="0.3">
      <c r="A645" s="40" t="s">
        <v>250</v>
      </c>
      <c r="B645" s="41" t="str">
        <f t="shared" ca="1" si="20"/>
        <v>Pinturas acrílicas</v>
      </c>
      <c r="C645" s="42" t="str">
        <f>IFERROR(VLOOKUP("GAL",'[1]Informacion '!P:Q,2,FALSE),"")</f>
        <v>Galón</v>
      </c>
      <c r="D645" s="40">
        <v>10</v>
      </c>
      <c r="E645" s="43">
        <v>1250</v>
      </c>
      <c r="F645" s="44">
        <f t="shared" ca="1" si="19"/>
        <v>12500</v>
      </c>
    </row>
    <row r="646" spans="1:6" x14ac:dyDescent="0.3">
      <c r="A646" s="40" t="s">
        <v>250</v>
      </c>
      <c r="B646" s="41" t="str">
        <f t="shared" ca="1" si="20"/>
        <v>Pinturas acrílicas</v>
      </c>
      <c r="C646" s="42" t="str">
        <f>IFERROR(VLOOKUP("GAL",'[1]Informacion '!P:Q,2,FALSE),"")</f>
        <v>Galón</v>
      </c>
      <c r="D646" s="40">
        <v>8</v>
      </c>
      <c r="E646" s="43">
        <v>1250</v>
      </c>
      <c r="F646" s="44">
        <f t="shared" ca="1" si="19"/>
        <v>10000</v>
      </c>
    </row>
    <row r="647" spans="1:6" x14ac:dyDescent="0.3">
      <c r="A647" s="40" t="s">
        <v>250</v>
      </c>
      <c r="B647" s="41" t="str">
        <f t="shared" ca="1" si="20"/>
        <v>Pinturas acrílicas</v>
      </c>
      <c r="C647" s="42" t="str">
        <f>IFERROR(VLOOKUP("UD",'[1]Informacion '!P:Q,2,FALSE),"")</f>
        <v>Unidad</v>
      </c>
      <c r="D647" s="40">
        <v>6</v>
      </c>
      <c r="E647" s="43">
        <v>6750</v>
      </c>
      <c r="F647" s="44">
        <f t="shared" ca="1" si="19"/>
        <v>40500</v>
      </c>
    </row>
    <row r="648" spans="1:6" x14ac:dyDescent="0.3">
      <c r="A648" s="40" t="s">
        <v>250</v>
      </c>
      <c r="B648" s="41" t="str">
        <f t="shared" ca="1" si="20"/>
        <v>Pinturas acrílicas</v>
      </c>
      <c r="C648" s="42" t="str">
        <f>IFERROR(VLOOKUP("GAL",'[1]Informacion '!P:Q,2,FALSE),"")</f>
        <v>Galón</v>
      </c>
      <c r="D648" s="40">
        <v>8</v>
      </c>
      <c r="E648" s="43">
        <v>1600</v>
      </c>
      <c r="F648" s="44">
        <f t="shared" ca="1" si="19"/>
        <v>12800</v>
      </c>
    </row>
    <row r="649" spans="1:6" x14ac:dyDescent="0.3">
      <c r="A649" s="40" t="s">
        <v>250</v>
      </c>
      <c r="B649" s="41" t="str">
        <f t="shared" ca="1" si="20"/>
        <v>Pinturas acrílicas</v>
      </c>
      <c r="C649" s="42" t="str">
        <f>IFERROR(VLOOKUP("GAL",'[1]Informacion '!P:Q,2,FALSE),"")</f>
        <v>Galón</v>
      </c>
      <c r="D649" s="40">
        <v>15</v>
      </c>
      <c r="E649" s="43">
        <v>1550</v>
      </c>
      <c r="F649" s="44">
        <f t="shared" ca="1" si="19"/>
        <v>23250</v>
      </c>
    </row>
    <row r="650" spans="1:6" x14ac:dyDescent="0.3">
      <c r="A650" s="40" t="s">
        <v>249</v>
      </c>
      <c r="B650" s="41" t="str">
        <f ca="1">IFERROR(INDEX(UNSPSCDes,MATCH(INDIRECT(ADDRESS(ROW(),COLUMN()-1,4)),UNSPSCCode,0)),IF(INDIRECT(ADDRESS(ROW(),COLUMN()-1,4))="31211803","Diluyentes para pinturas y barnices",""))</f>
        <v>Diluyentes para pinturas y barnices</v>
      </c>
      <c r="C650" s="42" t="str">
        <f>IFERROR(VLOOKUP("GAL",'[1]Informacion '!P:Q,2,FALSE),"")</f>
        <v>Galón</v>
      </c>
      <c r="D650" s="40">
        <v>12</v>
      </c>
      <c r="E650" s="43">
        <v>350</v>
      </c>
      <c r="F650" s="44">
        <f t="shared" ca="1" si="19"/>
        <v>4200</v>
      </c>
    </row>
    <row r="651" spans="1:6" ht="20.399999999999999" x14ac:dyDescent="0.3">
      <c r="A651" s="40" t="s">
        <v>251</v>
      </c>
      <c r="B651" s="41" t="str">
        <f ca="1">IFERROR(INDEX(UNSPSCDes,MATCH(INDIRECT(ADDRESS(ROW(),COLUMN()-1,4)),UNSPSCCode,0)),IF(INDIRECT(ADDRESS(ROW(),COLUMN()-1,4))="60121213","Pinturas o medios al oleo sintéticos tratados con calor",""))</f>
        <v>Pinturas o medios al oleo sintéticos tratados con calor</v>
      </c>
      <c r="C651" s="42" t="str">
        <f>IFERROR(VLOOKUP("UD",'[1]Informacion '!P:Q,2,FALSE),"")</f>
        <v>Unidad</v>
      </c>
      <c r="D651" s="40">
        <v>3</v>
      </c>
      <c r="E651" s="43">
        <v>1400</v>
      </c>
      <c r="F651" s="44">
        <f t="shared" ca="1" si="19"/>
        <v>4200</v>
      </c>
    </row>
    <row r="652" spans="1:6" x14ac:dyDescent="0.3">
      <c r="A652" s="40" t="s">
        <v>252</v>
      </c>
      <c r="B652" s="41" t="str">
        <f t="shared" ref="B652:B657" ca="1" si="21">IFERROR(INDEX(UNSPSCDes,MATCH(INDIRECT(ADDRESS(ROW(),COLUMN()-1,4)),UNSPSCCode,0)),IF(INDIRECT(ADDRESS(ROW(),COLUMN()-1,4))="31211501","Pinturas de esmalte",""))</f>
        <v>Pinturas de esmalte</v>
      </c>
      <c r="C652" s="42" t="str">
        <f>IFERROR(VLOOKUP("GAL",'[1]Informacion '!P:Q,2,FALSE),"")</f>
        <v>Galón</v>
      </c>
      <c r="D652" s="40">
        <v>10</v>
      </c>
      <c r="E652" s="43">
        <v>1850</v>
      </c>
      <c r="F652" s="44">
        <f t="shared" ca="1" si="19"/>
        <v>18500</v>
      </c>
    </row>
    <row r="653" spans="1:6" x14ac:dyDescent="0.3">
      <c r="A653" s="40" t="s">
        <v>252</v>
      </c>
      <c r="B653" s="41" t="str">
        <f t="shared" ca="1" si="21"/>
        <v>Pinturas de esmalte</v>
      </c>
      <c r="C653" s="42" t="str">
        <f>IFERROR(VLOOKUP("GAL",'[1]Informacion '!P:Q,2,FALSE),"")</f>
        <v>Galón</v>
      </c>
      <c r="D653" s="40">
        <v>10</v>
      </c>
      <c r="E653" s="43">
        <v>1500</v>
      </c>
      <c r="F653" s="44">
        <f t="shared" ca="1" si="19"/>
        <v>15000</v>
      </c>
    </row>
    <row r="654" spans="1:6" x14ac:dyDescent="0.3">
      <c r="A654" s="40" t="s">
        <v>252</v>
      </c>
      <c r="B654" s="41" t="str">
        <f t="shared" ca="1" si="21"/>
        <v>Pinturas de esmalte</v>
      </c>
      <c r="C654" s="42" t="str">
        <f>IFERROR(VLOOKUP("GAL",'[1]Informacion '!P:Q,2,FALSE),"")</f>
        <v>Galón</v>
      </c>
      <c r="D654" s="40">
        <v>10</v>
      </c>
      <c r="E654" s="43">
        <v>1500</v>
      </c>
      <c r="F654" s="44">
        <f t="shared" ca="1" si="19"/>
        <v>15000</v>
      </c>
    </row>
    <row r="655" spans="1:6" x14ac:dyDescent="0.3">
      <c r="A655" s="40" t="s">
        <v>252</v>
      </c>
      <c r="B655" s="41" t="str">
        <f t="shared" ca="1" si="21"/>
        <v>Pinturas de esmalte</v>
      </c>
      <c r="C655" s="42" t="str">
        <f>IFERROR(VLOOKUP("GAL",'[1]Informacion '!P:Q,2,FALSE),"")</f>
        <v>Galón</v>
      </c>
      <c r="D655" s="40">
        <v>6</v>
      </c>
      <c r="E655" s="43">
        <v>9500</v>
      </c>
      <c r="F655" s="44">
        <f t="shared" ca="1" si="19"/>
        <v>57000</v>
      </c>
    </row>
    <row r="656" spans="1:6" x14ac:dyDescent="0.3">
      <c r="A656" s="40" t="s">
        <v>252</v>
      </c>
      <c r="B656" s="41" t="str">
        <f t="shared" ca="1" si="21"/>
        <v>Pinturas de esmalte</v>
      </c>
      <c r="C656" s="42" t="str">
        <f>IFERROR(VLOOKUP("GAL",'[1]Informacion '!P:Q,2,FALSE),"")</f>
        <v>Galón</v>
      </c>
      <c r="D656" s="40">
        <v>3</v>
      </c>
      <c r="E656" s="43">
        <v>8500</v>
      </c>
      <c r="F656" s="44">
        <f t="shared" ca="1" si="19"/>
        <v>25500</v>
      </c>
    </row>
    <row r="657" spans="1:6" x14ac:dyDescent="0.3">
      <c r="A657" s="40" t="s">
        <v>252</v>
      </c>
      <c r="B657" s="41" t="str">
        <f t="shared" ca="1" si="21"/>
        <v>Pinturas de esmalte</v>
      </c>
      <c r="C657" s="42" t="str">
        <f>IFERROR(VLOOKUP("GAL",'[1]Informacion '!P:Q,2,FALSE),"")</f>
        <v>Galón</v>
      </c>
      <c r="D657" s="40">
        <v>3</v>
      </c>
      <c r="E657" s="43">
        <v>1500</v>
      </c>
      <c r="F657" s="44">
        <f t="shared" ca="1" si="19"/>
        <v>4500</v>
      </c>
    </row>
    <row r="658" spans="1:6" x14ac:dyDescent="0.3">
      <c r="A658" s="40" t="s">
        <v>253</v>
      </c>
      <c r="B658" s="41" t="str">
        <f ca="1">IFERROR(INDEX(UNSPSCDes,MATCH(INDIRECT(ADDRESS(ROW(),COLUMN()-1,4)),UNSPSCCode,0)),IF(INDIRECT(ADDRESS(ROW(),COLUMN()-1,4))="27112001","Machetes",""))</f>
        <v>Machetes</v>
      </c>
      <c r="C658" s="42" t="str">
        <f>IFERROR(VLOOKUP("UD",'[1]Informacion '!P:Q,2,FALSE),"")</f>
        <v>Unidad</v>
      </c>
      <c r="D658" s="40">
        <v>10</v>
      </c>
      <c r="E658" s="43">
        <v>450</v>
      </c>
      <c r="F658" s="44">
        <f t="shared" ca="1" si="19"/>
        <v>4500</v>
      </c>
    </row>
    <row r="659" spans="1:6" x14ac:dyDescent="0.3">
      <c r="A659" s="40" t="s">
        <v>254</v>
      </c>
      <c r="B659" s="41" t="str">
        <f ca="1">IFERROR(INDEX(UNSPSCDes,MATCH(INDIRECT(ADDRESS(ROW(),COLUMN()-1,4)),UNSPSCCode,0)),IF(INDIRECT(ADDRESS(ROW(),COLUMN()-1,4))="27111701","Destornilladores",""))</f>
        <v>Destornilladores</v>
      </c>
      <c r="C659" s="42" t="str">
        <f>IFERROR(VLOOKUP("UD",'[1]Informacion '!P:Q,2,FALSE),"")</f>
        <v>Unidad</v>
      </c>
      <c r="D659" s="40">
        <v>12</v>
      </c>
      <c r="E659" s="43">
        <v>50</v>
      </c>
      <c r="F659" s="44">
        <f t="shared" ca="1" si="19"/>
        <v>600</v>
      </c>
    </row>
    <row r="660" spans="1:6" x14ac:dyDescent="0.3">
      <c r="A660" s="40" t="s">
        <v>255</v>
      </c>
      <c r="B660" s="41" t="str">
        <f ca="1">IFERROR(INDEX(UNSPSCDes,MATCH(INDIRECT(ADDRESS(ROW(),COLUMN()-1,4)),UNSPSCCode,0)),IF(INDIRECT(ADDRESS(ROW(),COLUMN()-1,4))="11162116","Tela de fique o estopa",""))</f>
        <v>Tela de fique o estopa</v>
      </c>
      <c r="C660" s="42" t="str">
        <f>IFERROR(VLOOKUP("UD",'[1]Informacion '!P:Q,2,FALSE),"")</f>
        <v>Unidad</v>
      </c>
      <c r="D660" s="40">
        <v>15</v>
      </c>
      <c r="E660" s="43">
        <v>75</v>
      </c>
      <c r="F660" s="44">
        <f t="shared" ca="1" si="19"/>
        <v>1125</v>
      </c>
    </row>
    <row r="661" spans="1:6" x14ac:dyDescent="0.3">
      <c r="A661" s="40" t="s">
        <v>256</v>
      </c>
      <c r="B661" s="41" t="str">
        <f ca="1">IFERROR(INDEX(UNSPSCDes,MATCH(INDIRECT(ADDRESS(ROW(),COLUMN()-1,4)),UNSPSCCode,0)),IF(INDIRECT(ADDRESS(ROW(),COLUMN()-1,4))="26121536","Cordón de extensión",""))</f>
        <v>Cordón de extensión</v>
      </c>
      <c r="C661" s="42" t="str">
        <f>IFERROR(VLOOKUP("UD",'[1]Informacion '!P:Q,2,FALSE),"")</f>
        <v>Unidad</v>
      </c>
      <c r="D661" s="40">
        <v>10</v>
      </c>
      <c r="E661" s="43">
        <v>550</v>
      </c>
      <c r="F661" s="44">
        <f t="shared" ca="1" si="19"/>
        <v>5500</v>
      </c>
    </row>
    <row r="662" spans="1:6" x14ac:dyDescent="0.3">
      <c r="A662" s="40" t="s">
        <v>257</v>
      </c>
      <c r="B662" s="41" t="str">
        <f ca="1">IFERROR(INDEX(UNSPSCDes,MATCH(INDIRECT(ADDRESS(ROW(),COLUMN()-1,4)),UNSPSCCode,0)),IF(INDIRECT(ADDRESS(ROW(),COLUMN()-1,4))="27111902","Limas",""))</f>
        <v>Limas</v>
      </c>
      <c r="C662" s="42" t="str">
        <f>IFERROR(VLOOKUP("UD",'[1]Informacion '!P:Q,2,FALSE),"")</f>
        <v>Unidad</v>
      </c>
      <c r="D662" s="40">
        <v>10</v>
      </c>
      <c r="E662" s="43">
        <v>350</v>
      </c>
      <c r="F662" s="44">
        <f t="shared" ca="1" si="19"/>
        <v>3500</v>
      </c>
    </row>
    <row r="663" spans="1:6" x14ac:dyDescent="0.3">
      <c r="A663" s="40" t="s">
        <v>258</v>
      </c>
      <c r="B663" s="41" t="str">
        <f ca="1">IFERROR(INDEX(UNSPSCDes,MATCH(INDIRECT(ADDRESS(ROW(),COLUMN()-1,4)),UNSPSCCode,0)),IF(INDIRECT(ADDRESS(ROW(),COLUMN()-1,4))="31211904","Brochas",""))</f>
        <v>Brochas</v>
      </c>
      <c r="C663" s="42" t="str">
        <f>IFERROR(VLOOKUP("UD",'[1]Informacion '!P:Q,2,FALSE),"")</f>
        <v>Unidad</v>
      </c>
      <c r="D663" s="40">
        <v>20</v>
      </c>
      <c r="E663" s="43">
        <v>35</v>
      </c>
      <c r="F663" s="44">
        <f t="shared" ca="1" si="19"/>
        <v>700</v>
      </c>
    </row>
    <row r="664" spans="1:6" x14ac:dyDescent="0.3">
      <c r="A664" s="40" t="s">
        <v>258</v>
      </c>
      <c r="B664" s="41" t="str">
        <f ca="1">IFERROR(INDEX(UNSPSCDes,MATCH(INDIRECT(ADDRESS(ROW(),COLUMN()-1,4)),UNSPSCCode,0)),IF(INDIRECT(ADDRESS(ROW(),COLUMN()-1,4))="31211904","Brochas",""))</f>
        <v>Brochas</v>
      </c>
      <c r="C664" s="42" t="str">
        <f>IFERROR(VLOOKUP("UD",'[1]Informacion '!P:Q,2,FALSE),"")</f>
        <v>Unidad</v>
      </c>
      <c r="D664" s="40">
        <v>20</v>
      </c>
      <c r="E664" s="43">
        <v>45</v>
      </c>
      <c r="F664" s="44">
        <f t="shared" ca="1" si="19"/>
        <v>900</v>
      </c>
    </row>
    <row r="665" spans="1:6" x14ac:dyDescent="0.3">
      <c r="A665" s="40" t="s">
        <v>258</v>
      </c>
      <c r="B665" s="41" t="str">
        <f ca="1">IFERROR(INDEX(UNSPSCDes,MATCH(INDIRECT(ADDRESS(ROW(),COLUMN()-1,4)),UNSPSCCode,0)),IF(INDIRECT(ADDRESS(ROW(),COLUMN()-1,4))="31211904","Brochas",""))</f>
        <v>Brochas</v>
      </c>
      <c r="C665" s="42" t="str">
        <f>IFERROR(VLOOKUP("UD",'[1]Informacion '!P:Q,2,FALSE),"")</f>
        <v>Unidad</v>
      </c>
      <c r="D665" s="40">
        <v>20</v>
      </c>
      <c r="E665" s="43">
        <v>50</v>
      </c>
      <c r="F665" s="44">
        <f t="shared" ca="1" si="19"/>
        <v>1000</v>
      </c>
    </row>
    <row r="666" spans="1:6" x14ac:dyDescent="0.3">
      <c r="A666" s="40" t="s">
        <v>259</v>
      </c>
      <c r="B666" s="41" t="str">
        <f ca="1">IFERROR(INDEX(UNSPSCDes,MATCH(INDIRECT(ADDRESS(ROW(),COLUMN()-1,4)),UNSPSCCode,0)),IF(INDIRECT(ADDRESS(ROW(),COLUMN()-1,4))="31211906","Rodillos de pintar",""))</f>
        <v>Rodillos de pintar</v>
      </c>
      <c r="C666" s="42" t="str">
        <f>IFERROR(VLOOKUP("UD",'[1]Informacion '!P:Q,2,FALSE),"")</f>
        <v>Unidad</v>
      </c>
      <c r="D666" s="40">
        <v>15</v>
      </c>
      <c r="E666" s="43">
        <v>150</v>
      </c>
      <c r="F666" s="44">
        <f t="shared" ca="1" si="19"/>
        <v>2250</v>
      </c>
    </row>
    <row r="667" spans="1:6" x14ac:dyDescent="0.3">
      <c r="A667" s="40" t="s">
        <v>259</v>
      </c>
      <c r="B667" s="41" t="str">
        <f ca="1">IFERROR(INDEX(UNSPSCDes,MATCH(INDIRECT(ADDRESS(ROW(),COLUMN()-1,4)),UNSPSCCode,0)),IF(INDIRECT(ADDRESS(ROW(),COLUMN()-1,4))="31211906","Rodillos de pintar",""))</f>
        <v>Rodillos de pintar</v>
      </c>
      <c r="C667" s="42" t="str">
        <f>IFERROR(VLOOKUP("UD",'[1]Informacion '!P:Q,2,FALSE),"")</f>
        <v>Unidad</v>
      </c>
      <c r="D667" s="40">
        <v>15</v>
      </c>
      <c r="E667" s="43">
        <v>175</v>
      </c>
      <c r="F667" s="44">
        <f t="shared" ca="1" si="19"/>
        <v>2625</v>
      </c>
    </row>
    <row r="668" spans="1:6" x14ac:dyDescent="0.3">
      <c r="A668" s="40" t="s">
        <v>260</v>
      </c>
      <c r="B668" s="41" t="str">
        <f ca="1">IFERROR(INDEX(UNSPSCDes,MATCH(INDIRECT(ADDRESS(ROW(),COLUMN()-1,4)),UNSPSCCode,0)),IF(INDIRECT(ADDRESS(ROW(),COLUMN()-1,4))="31201503","Cinta de enmascarar",""))</f>
        <v>Cinta de enmascarar</v>
      </c>
      <c r="C668" s="42" t="str">
        <f>IFERROR(VLOOKUP("UD",'[1]Informacion '!P:Q,2,FALSE),"")</f>
        <v>Unidad</v>
      </c>
      <c r="D668" s="40">
        <v>3</v>
      </c>
      <c r="E668" s="43">
        <v>450</v>
      </c>
      <c r="F668" s="44">
        <f t="shared" ca="1" si="19"/>
        <v>1350</v>
      </c>
    </row>
    <row r="669" spans="1:6" x14ac:dyDescent="0.3">
      <c r="A669" s="40" t="s">
        <v>261</v>
      </c>
      <c r="B669" s="41" t="str">
        <f ca="1">IFERROR(INDEX(UNSPSCDes,MATCH(INDIRECT(ADDRESS(ROW(),COLUMN()-1,4)),UNSPSCCode,0)),IF(INDIRECT(ADDRESS(ROW(),COLUMN()-1,4))="27112004","Palas",""))</f>
        <v>Palas</v>
      </c>
      <c r="C669" s="42" t="str">
        <f>IFERROR(VLOOKUP("UD",'[1]Informacion '!P:Q,2,FALSE),"")</f>
        <v>Unidad</v>
      </c>
      <c r="D669" s="40">
        <v>4</v>
      </c>
      <c r="E669" s="43">
        <v>650</v>
      </c>
      <c r="F669" s="44">
        <f t="shared" ca="1" si="19"/>
        <v>2600</v>
      </c>
    </row>
    <row r="670" spans="1:6" x14ac:dyDescent="0.3">
      <c r="A670" s="40" t="s">
        <v>262</v>
      </c>
      <c r="B670" s="41" t="str">
        <f ca="1">IFERROR(INDEX(UNSPSCDes,MATCH(INDIRECT(ADDRESS(ROW(),COLUMN()-1,4)),UNSPSCCode,0)),IF(INDIRECT(ADDRESS(ROW(),COLUMN()-1,4))="27112007","Tijeras de podar",""))</f>
        <v>Tijeras de podar</v>
      </c>
      <c r="C670" s="42" t="str">
        <f>IFERROR(VLOOKUP("UD",'[1]Informacion '!P:Q,2,FALSE),"")</f>
        <v>Unidad</v>
      </c>
      <c r="D670" s="40">
        <v>2</v>
      </c>
      <c r="E670" s="43">
        <v>700</v>
      </c>
      <c r="F670" s="44">
        <f t="shared" ca="1" si="19"/>
        <v>1400</v>
      </c>
    </row>
    <row r="671" spans="1:6" x14ac:dyDescent="0.3">
      <c r="A671" s="40" t="s">
        <v>263</v>
      </c>
      <c r="B671" s="41" t="str">
        <f ca="1">IFERROR(INDEX(UNSPSCDes,MATCH(INDIRECT(ADDRESS(ROW(),COLUMN()-1,4)),UNSPSCCode,0)),IF(INDIRECT(ADDRESS(ROW(),COLUMN()-1,4))="31162004","Clavos de mampostería",""))</f>
        <v>Clavos de mampostería</v>
      </c>
      <c r="C671" s="42" t="str">
        <f>IFERROR(VLOOKUP("LB",'[1]Informacion '!P:Q,2,FALSE),"")</f>
        <v>Libra </v>
      </c>
      <c r="D671" s="40">
        <v>15</v>
      </c>
      <c r="E671" s="43">
        <v>70</v>
      </c>
      <c r="F671" s="44">
        <f t="shared" ca="1" si="19"/>
        <v>1050</v>
      </c>
    </row>
    <row r="672" spans="1:6" x14ac:dyDescent="0.3">
      <c r="A672" s="40" t="s">
        <v>263</v>
      </c>
      <c r="B672" s="41" t="str">
        <f ca="1">IFERROR(INDEX(UNSPSCDes,MATCH(INDIRECT(ADDRESS(ROW(),COLUMN()-1,4)),UNSPSCCode,0)),IF(INDIRECT(ADDRESS(ROW(),COLUMN()-1,4))="31162004","Clavos de mampostería",""))</f>
        <v>Clavos de mampostería</v>
      </c>
      <c r="C672" s="42" t="str">
        <f>IFERROR(VLOOKUP("LB",'[1]Informacion '!P:Q,2,FALSE),"")</f>
        <v>Libra </v>
      </c>
      <c r="D672" s="40">
        <v>15</v>
      </c>
      <c r="E672" s="43">
        <v>70</v>
      </c>
      <c r="F672" s="44">
        <f t="shared" ca="1" si="19"/>
        <v>1050</v>
      </c>
    </row>
    <row r="673" spans="1:6" x14ac:dyDescent="0.3">
      <c r="A673" s="40" t="s">
        <v>264</v>
      </c>
      <c r="B673" s="41" t="str">
        <f ca="1">IFERROR(INDEX(UNSPSCDes,MATCH(INDIRECT(ADDRESS(ROW(),COLUMN()-1,4)),UNSPSCCode,0)),IF(INDIRECT(ADDRESS(ROW(),COLUMN()-1,4))="31161503","Clavo-tornillo",""))</f>
        <v>Clavo-tornillo</v>
      </c>
      <c r="C673" s="42" t="str">
        <f>IFERROR(VLOOKUP("UD",'[1]Informacion '!P:Q,2,FALSE),"")</f>
        <v>Unidad</v>
      </c>
      <c r="D673" s="40">
        <v>100</v>
      </c>
      <c r="E673" s="43">
        <v>1</v>
      </c>
      <c r="F673" s="44">
        <f t="shared" ca="1" si="19"/>
        <v>100</v>
      </c>
    </row>
    <row r="674" spans="1:6" x14ac:dyDescent="0.3">
      <c r="A674" s="40" t="s">
        <v>265</v>
      </c>
      <c r="B674" s="41" t="str">
        <f ca="1">IFERROR(INDEX(UNSPSCDes,MATCH(INDIRECT(ADDRESS(ROW(),COLUMN()-1,4)),UNSPSCCode,0)),IF(INDIRECT(ADDRESS(ROW(),COLUMN()-1,4))="31162402","Cerraduras",""))</f>
        <v>Cerraduras</v>
      </c>
      <c r="C674" s="42" t="str">
        <f>IFERROR(VLOOKUP("UD",'[1]Informacion '!P:Q,2,FALSE),"")</f>
        <v>Unidad</v>
      </c>
      <c r="D674" s="40">
        <v>10</v>
      </c>
      <c r="E674" s="43">
        <v>500</v>
      </c>
      <c r="F674" s="44">
        <f t="shared" ca="1" si="19"/>
        <v>5000</v>
      </c>
    </row>
    <row r="675" spans="1:6" x14ac:dyDescent="0.3">
      <c r="A675" s="40" t="s">
        <v>265</v>
      </c>
      <c r="B675" s="41" t="str">
        <f ca="1">IFERROR(INDEX(UNSPSCDes,MATCH(INDIRECT(ADDRESS(ROW(),COLUMN()-1,4)),UNSPSCCode,0)),IF(INDIRECT(ADDRESS(ROW(),COLUMN()-1,4))="31162402","Cerraduras",""))</f>
        <v>Cerraduras</v>
      </c>
      <c r="C675" s="42" t="str">
        <f>IFERROR(VLOOKUP("UD",'[1]Informacion '!P:Q,2,FALSE),"")</f>
        <v>Unidad</v>
      </c>
      <c r="D675" s="40">
        <v>10</v>
      </c>
      <c r="E675" s="43">
        <v>700</v>
      </c>
      <c r="F675" s="44">
        <f t="shared" ca="1" si="19"/>
        <v>7000</v>
      </c>
    </row>
    <row r="676" spans="1:6" x14ac:dyDescent="0.3">
      <c r="A676" s="40" t="s">
        <v>266</v>
      </c>
      <c r="B676" s="41" t="str">
        <f ca="1">IFERROR(INDEX(UNSPSCDes,MATCH(INDIRECT(ADDRESS(ROW(),COLUMN()-1,4)),UNSPSCCode,0)),IF(INDIRECT(ADDRESS(ROW(),COLUMN()-1,4))="31211705","Barniz de laca",""))</f>
        <v>Barniz de laca</v>
      </c>
      <c r="C676" s="42" t="str">
        <f>IFERROR(VLOOKUP("UD",'[1]Informacion '!P:Q,2,FALSE),"")</f>
        <v>Unidad</v>
      </c>
      <c r="D676" s="40">
        <v>4</v>
      </c>
      <c r="E676" s="43">
        <v>1650</v>
      </c>
      <c r="F676" s="44">
        <f t="shared" ca="1" si="19"/>
        <v>6600</v>
      </c>
    </row>
    <row r="677" spans="1:6" x14ac:dyDescent="0.3">
      <c r="A677" s="40" t="s">
        <v>267</v>
      </c>
      <c r="B677" s="41" t="str">
        <f ca="1">IFERROR(INDEX(UNSPSCDes,MATCH(INDIRECT(ADDRESS(ROW(),COLUMN()-1,4)),UNSPSCCode,0)),IF(INDIRECT(ADDRESS(ROW(),COLUMN()-1,4))="27111509","Barrenas",""))</f>
        <v>Barrenas</v>
      </c>
      <c r="C677" s="42" t="str">
        <f>IFERROR(VLOOKUP("UD",'[1]Informacion '!P:Q,2,FALSE),"")</f>
        <v>Unidad</v>
      </c>
      <c r="D677" s="40">
        <v>5</v>
      </c>
      <c r="E677" s="43">
        <v>80</v>
      </c>
      <c r="F677" s="44">
        <f t="shared" ca="1" si="19"/>
        <v>400</v>
      </c>
    </row>
    <row r="678" spans="1:6" x14ac:dyDescent="0.3">
      <c r="A678" s="40" t="s">
        <v>267</v>
      </c>
      <c r="B678" s="41" t="str">
        <f ca="1">IFERROR(INDEX(UNSPSCDes,MATCH(INDIRECT(ADDRESS(ROW(),COLUMN()-1,4)),UNSPSCCode,0)),IF(INDIRECT(ADDRESS(ROW(),COLUMN()-1,4))="27111509","Barrenas",""))</f>
        <v>Barrenas</v>
      </c>
      <c r="C678" s="42" t="str">
        <f>IFERROR(VLOOKUP("UD",'[1]Informacion '!P:Q,2,FALSE),"")</f>
        <v>Unidad</v>
      </c>
      <c r="D678" s="40">
        <v>5</v>
      </c>
      <c r="E678" s="43">
        <v>150</v>
      </c>
      <c r="F678" s="44">
        <f t="shared" ca="1" si="19"/>
        <v>750</v>
      </c>
    </row>
    <row r="679" spans="1:6" x14ac:dyDescent="0.3">
      <c r="A679" s="40" t="s">
        <v>268</v>
      </c>
      <c r="B679" s="41" t="str">
        <f ca="1">IFERROR(INDEX(UNSPSCDes,MATCH(INDIRECT(ADDRESS(ROW(),COLUMN()-1,4)),UNSPSCCode,0)),IF(INDIRECT(ADDRESS(ROW(),COLUMN()-1,4))="11121604","Madera blanda",""))</f>
        <v>Madera blanda</v>
      </c>
      <c r="C679" s="42" t="str">
        <f>IFERROR(VLOOKUP("UD",'[1]Informacion '!P:Q,2,FALSE),"")</f>
        <v>Unidad</v>
      </c>
      <c r="D679" s="40">
        <v>6</v>
      </c>
      <c r="E679" s="43">
        <v>826</v>
      </c>
      <c r="F679" s="44">
        <f t="shared" ca="1" si="19"/>
        <v>4956</v>
      </c>
    </row>
    <row r="680" spans="1:6" x14ac:dyDescent="0.3">
      <c r="A680" s="40" t="s">
        <v>268</v>
      </c>
      <c r="B680" s="41" t="str">
        <f ca="1">IFERROR(INDEX(UNSPSCDes,MATCH(INDIRECT(ADDRESS(ROW(),COLUMN()-1,4)),UNSPSCCode,0)),IF(INDIRECT(ADDRESS(ROW(),COLUMN()-1,4))="11121604","Madera blanda",""))</f>
        <v>Madera blanda</v>
      </c>
      <c r="C680" s="42" t="str">
        <f>IFERROR(VLOOKUP("UD",'[1]Informacion '!P:Q,2,FALSE),"")</f>
        <v>Unidad</v>
      </c>
      <c r="D680" s="40">
        <v>6</v>
      </c>
      <c r="E680" s="43">
        <v>1300</v>
      </c>
      <c r="F680" s="44">
        <f t="shared" ca="1" si="19"/>
        <v>7800</v>
      </c>
    </row>
    <row r="681" spans="1:6" x14ac:dyDescent="0.3">
      <c r="A681" s="40" t="s">
        <v>268</v>
      </c>
      <c r="B681" s="41" t="str">
        <f ca="1">IFERROR(INDEX(UNSPSCDes,MATCH(INDIRECT(ADDRESS(ROW(),COLUMN()-1,4)),UNSPSCCode,0)),IF(INDIRECT(ADDRESS(ROW(),COLUMN()-1,4))="11121604","Madera blanda",""))</f>
        <v>Madera blanda</v>
      </c>
      <c r="C681" s="42" t="str">
        <f>IFERROR(VLOOKUP("UD",'[1]Informacion '!P:Q,2,FALSE),"")</f>
        <v>Unidad</v>
      </c>
      <c r="D681" s="40">
        <v>6</v>
      </c>
      <c r="E681" s="43">
        <v>980</v>
      </c>
      <c r="F681" s="44">
        <f t="shared" ca="1" si="19"/>
        <v>5880</v>
      </c>
    </row>
    <row r="682" spans="1:6" x14ac:dyDescent="0.3">
      <c r="A682" s="40" t="s">
        <v>268</v>
      </c>
      <c r="B682" s="41" t="str">
        <f ca="1">IFERROR(INDEX(UNSPSCDes,MATCH(INDIRECT(ADDRESS(ROW(),COLUMN()-1,4)),UNSPSCCode,0)),IF(INDIRECT(ADDRESS(ROW(),COLUMN()-1,4))="11121604","Madera blanda",""))</f>
        <v>Madera blanda</v>
      </c>
      <c r="C682" s="42" t="str">
        <f>IFERROR(VLOOKUP("UD",'[1]Informacion '!P:Q,2,FALSE),"")</f>
        <v>Unidad</v>
      </c>
      <c r="D682" s="40">
        <v>6</v>
      </c>
      <c r="E682" s="43">
        <v>1800</v>
      </c>
      <c r="F682" s="44">
        <f t="shared" ca="1" si="19"/>
        <v>10800</v>
      </c>
    </row>
    <row r="683" spans="1:6" x14ac:dyDescent="0.3">
      <c r="A683" s="30"/>
      <c r="B683" s="30"/>
      <c r="C683" s="30"/>
      <c r="D683" s="30"/>
      <c r="E683" s="45" t="s">
        <v>52</v>
      </c>
      <c r="F683" s="46">
        <f ca="1">SUM(Table35[MONTO TOTAL ESTIMADO])</f>
        <v>370486</v>
      </c>
    </row>
    <row r="684" spans="1:6" ht="15" thickBot="1" x14ac:dyDescent="0.35">
      <c r="A684" s="30"/>
      <c r="B684" s="30"/>
      <c r="C684" s="30"/>
      <c r="D684" s="30"/>
      <c r="E684" s="30"/>
      <c r="F684" s="30"/>
    </row>
    <row r="685" spans="1:6" ht="21" thickBot="1" x14ac:dyDescent="0.35">
      <c r="A685" s="31" t="s">
        <v>19</v>
      </c>
      <c r="B685" s="31" t="s">
        <v>20</v>
      </c>
      <c r="C685" s="31" t="s">
        <v>21</v>
      </c>
      <c r="D685" s="31" t="s">
        <v>22</v>
      </c>
      <c r="E685" s="31" t="s">
        <v>23</v>
      </c>
      <c r="F685" s="31" t="s">
        <v>24</v>
      </c>
    </row>
    <row r="686" spans="1:6" ht="21" thickBot="1" x14ac:dyDescent="0.35">
      <c r="A686" s="12" t="s">
        <v>269</v>
      </c>
      <c r="B686" s="12" t="s">
        <v>269</v>
      </c>
      <c r="C686" s="12" t="s">
        <v>27</v>
      </c>
      <c r="D686" s="12" t="s">
        <v>28</v>
      </c>
      <c r="E686" s="12" t="s">
        <v>59</v>
      </c>
      <c r="F686" s="12"/>
    </row>
    <row r="687" spans="1:6" ht="15" thickBot="1" x14ac:dyDescent="0.35">
      <c r="A687" s="32" t="s">
        <v>30</v>
      </c>
      <c r="B687" s="33" t="s">
        <v>31</v>
      </c>
      <c r="C687" s="34">
        <v>45761</v>
      </c>
      <c r="D687" s="32" t="s">
        <v>32</v>
      </c>
      <c r="E687" s="35" t="s">
        <v>33</v>
      </c>
      <c r="F687" s="36" t="s">
        <v>34</v>
      </c>
    </row>
    <row r="688" spans="1:6" ht="15" thickBot="1" x14ac:dyDescent="0.35">
      <c r="A688" s="37"/>
      <c r="B688" s="33" t="s">
        <v>35</v>
      </c>
      <c r="C688" s="38">
        <f>IF(C687="","",IF(AND(MONTH(C687)&gt;=1,MONTH(C687)&lt;=3),1,IF(AND(MONTH(C687)&gt;=4,MONTH(C687)&lt;=6),2,IF(AND(MONTH(C687)&gt;=7,MONTH(C687)&lt;=9),3,4))))</f>
        <v>2</v>
      </c>
      <c r="D688" s="37"/>
      <c r="E688" s="35" t="s">
        <v>36</v>
      </c>
      <c r="F688" s="36" t="s">
        <v>37</v>
      </c>
    </row>
    <row r="689" spans="1:6" ht="15" thickBot="1" x14ac:dyDescent="0.35">
      <c r="A689" s="37"/>
      <c r="B689" s="33" t="s">
        <v>38</v>
      </c>
      <c r="C689" s="34">
        <v>45768</v>
      </c>
      <c r="D689" s="37"/>
      <c r="E689" s="35" t="s">
        <v>39</v>
      </c>
      <c r="F689" s="36" t="s">
        <v>37</v>
      </c>
    </row>
    <row r="690" spans="1:6" ht="15" thickBot="1" x14ac:dyDescent="0.35">
      <c r="A690" s="37"/>
      <c r="B690" s="33" t="s">
        <v>35</v>
      </c>
      <c r="C690" s="38">
        <f>IF(C689="","",IF(AND(MONTH(C689)&gt;=1,MONTH(C689)&lt;=3),1,IF(AND(MONTH(C689)&gt;=4,MONTH(C689)&lt;=6),2,IF(AND(MONTH(C689)&gt;=7,MONTH(C689)&lt;=9),3,4))))</f>
        <v>2</v>
      </c>
      <c r="D690" s="37"/>
      <c r="E690" s="35" t="s">
        <v>40</v>
      </c>
      <c r="F690" s="36"/>
    </row>
    <row r="691" spans="1:6" ht="15" thickBot="1" x14ac:dyDescent="0.35">
      <c r="A691" s="30"/>
      <c r="B691" s="30"/>
      <c r="C691" s="30"/>
      <c r="D691" s="30"/>
      <c r="E691" s="30"/>
      <c r="F691" s="30"/>
    </row>
    <row r="692" spans="1:6" ht="15" thickBot="1" x14ac:dyDescent="0.35">
      <c r="A692" s="39" t="s">
        <v>41</v>
      </c>
      <c r="B692" s="39" t="s">
        <v>42</v>
      </c>
      <c r="C692" s="39" t="s">
        <v>43</v>
      </c>
      <c r="D692" s="39" t="s">
        <v>44</v>
      </c>
      <c r="E692" s="39" t="s">
        <v>45</v>
      </c>
      <c r="F692" s="39" t="s">
        <v>46</v>
      </c>
    </row>
    <row r="693" spans="1:6" x14ac:dyDescent="0.3">
      <c r="A693" s="40" t="s">
        <v>270</v>
      </c>
      <c r="B693" s="41" t="str">
        <f ca="1">IFERROR(INDEX(UNSPSCDes,MATCH(INDIRECT(ADDRESS(ROW(),COLUMN()-1,4)),UNSPSCCode,0)),IF(INDIRECT(ADDRESS(ROW(),COLUMN()-1,4))="15101505","Combustible diesel",""))</f>
        <v>Combustible diesel</v>
      </c>
      <c r="C693" s="42" t="str">
        <f>IFERROR(VLOOKUP("UD",'[1]Informacion '!P:Q,2,FALSE),"")</f>
        <v>Unidad</v>
      </c>
      <c r="D693" s="40">
        <v>4500</v>
      </c>
      <c r="E693" s="43">
        <v>221.6</v>
      </c>
      <c r="F693" s="44">
        <f ca="1">INDIRECT(ADDRESS(ROW(),COLUMN()-2,4))*INDIRECT(ADDRESS(ROW(),COLUMN()-1,4))</f>
        <v>997200</v>
      </c>
    </row>
    <row r="694" spans="1:6" x14ac:dyDescent="0.3">
      <c r="A694" s="40" t="s">
        <v>271</v>
      </c>
      <c r="B694" s="41" t="str">
        <f ca="1">IFERROR(INDEX(UNSPSCDes,MATCH(INDIRECT(ADDRESS(ROW(),COLUMN()-1,4)),UNSPSCCode,0)),IF(INDIRECT(ADDRESS(ROW(),COLUMN()-1,4))="15101506","Gasolina",""))</f>
        <v>Gasolina</v>
      </c>
      <c r="C694" s="42" t="str">
        <f>IFERROR(VLOOKUP("UD",'[1]Informacion '!P:Q,2,FALSE),"")</f>
        <v>Unidad</v>
      </c>
      <c r="D694" s="40">
        <v>200</v>
      </c>
      <c r="E694" s="43">
        <v>2000</v>
      </c>
      <c r="F694" s="44">
        <f ca="1">INDIRECT(ADDRESS(ROW(),COLUMN()-2,4))*INDIRECT(ADDRESS(ROW(),COLUMN()-1,4))</f>
        <v>400000</v>
      </c>
    </row>
    <row r="695" spans="1:6" x14ac:dyDescent="0.3">
      <c r="A695" s="40" t="s">
        <v>271</v>
      </c>
      <c r="B695" s="41" t="str">
        <f ca="1">IFERROR(INDEX(UNSPSCDes,MATCH(INDIRECT(ADDRESS(ROW(),COLUMN()-1,4)),UNSPSCCode,0)),IF(INDIRECT(ADDRESS(ROW(),COLUMN()-1,4))="15101506","Gasolina",""))</f>
        <v>Gasolina</v>
      </c>
      <c r="C695" s="42" t="str">
        <f>IFERROR(VLOOKUP("UD",'[1]Informacion '!P:Q,2,FALSE),"")</f>
        <v>Unidad</v>
      </c>
      <c r="D695" s="40">
        <v>300</v>
      </c>
      <c r="E695" s="43">
        <v>1000</v>
      </c>
      <c r="F695" s="44">
        <f ca="1">INDIRECT(ADDRESS(ROW(),COLUMN()-2,4))*INDIRECT(ADDRESS(ROW(),COLUMN()-1,4))</f>
        <v>300000</v>
      </c>
    </row>
    <row r="696" spans="1:6" x14ac:dyDescent="0.3">
      <c r="A696" s="40" t="s">
        <v>271</v>
      </c>
      <c r="B696" s="41" t="str">
        <f ca="1">IFERROR(INDEX(UNSPSCDes,MATCH(INDIRECT(ADDRESS(ROW(),COLUMN()-1,4)),UNSPSCCode,0)),IF(INDIRECT(ADDRESS(ROW(),COLUMN()-1,4))="15101506","Gasolina",""))</f>
        <v>Gasolina</v>
      </c>
      <c r="C696" s="42" t="str">
        <f>IFERROR(VLOOKUP("UD",'[1]Informacion '!P:Q,2,FALSE),"")</f>
        <v>Unidad</v>
      </c>
      <c r="D696" s="40">
        <v>100</v>
      </c>
      <c r="E696" s="43">
        <v>500</v>
      </c>
      <c r="F696" s="44">
        <f ca="1">INDIRECT(ADDRESS(ROW(),COLUMN()-2,4))*INDIRECT(ADDRESS(ROW(),COLUMN()-1,4))</f>
        <v>50000</v>
      </c>
    </row>
    <row r="697" spans="1:6" x14ac:dyDescent="0.3">
      <c r="A697" s="30"/>
      <c r="B697" s="30"/>
      <c r="C697" s="30"/>
      <c r="D697" s="30"/>
      <c r="E697" s="45" t="s">
        <v>52</v>
      </c>
      <c r="F697" s="46">
        <f ca="1">SUM(Table36[MONTO TOTAL ESTIMADO])</f>
        <v>1747200</v>
      </c>
    </row>
    <row r="698" spans="1:6" ht="15" thickBot="1" x14ac:dyDescent="0.35">
      <c r="A698" s="30"/>
      <c r="B698" s="30"/>
      <c r="C698" s="30"/>
      <c r="D698" s="30"/>
      <c r="E698" s="30"/>
      <c r="F698" s="30"/>
    </row>
    <row r="699" spans="1:6" ht="21" thickBot="1" x14ac:dyDescent="0.35">
      <c r="A699" s="31" t="s">
        <v>19</v>
      </c>
      <c r="B699" s="31" t="s">
        <v>20</v>
      </c>
      <c r="C699" s="31" t="s">
        <v>21</v>
      </c>
      <c r="D699" s="31" t="s">
        <v>22</v>
      </c>
      <c r="E699" s="31" t="s">
        <v>23</v>
      </c>
      <c r="F699" s="31" t="s">
        <v>24</v>
      </c>
    </row>
    <row r="700" spans="1:6" ht="31.2" thickBot="1" x14ac:dyDescent="0.35">
      <c r="A700" s="12" t="s">
        <v>272</v>
      </c>
      <c r="B700" s="12" t="s">
        <v>272</v>
      </c>
      <c r="C700" s="12" t="s">
        <v>27</v>
      </c>
      <c r="D700" s="12" t="s">
        <v>28</v>
      </c>
      <c r="E700" s="12" t="s">
        <v>59</v>
      </c>
      <c r="F700" s="12"/>
    </row>
    <row r="701" spans="1:6" ht="15" thickBot="1" x14ac:dyDescent="0.35">
      <c r="A701" s="32" t="s">
        <v>30</v>
      </c>
      <c r="B701" s="33" t="s">
        <v>31</v>
      </c>
      <c r="C701" s="34">
        <v>45761</v>
      </c>
      <c r="D701" s="32" t="s">
        <v>32</v>
      </c>
      <c r="E701" s="35" t="s">
        <v>33</v>
      </c>
      <c r="F701" s="36" t="s">
        <v>34</v>
      </c>
    </row>
    <row r="702" spans="1:6" ht="15" thickBot="1" x14ac:dyDescent="0.35">
      <c r="A702" s="37"/>
      <c r="B702" s="33" t="s">
        <v>35</v>
      </c>
      <c r="C702" s="38">
        <f>IF(C701="","",IF(AND(MONTH(C701)&gt;=1,MONTH(C701)&lt;=3),1,IF(AND(MONTH(C701)&gt;=4,MONTH(C701)&lt;=6),2,IF(AND(MONTH(C701)&gt;=7,MONTH(C701)&lt;=9),3,4))))</f>
        <v>2</v>
      </c>
      <c r="D702" s="37"/>
      <c r="E702" s="35" t="s">
        <v>36</v>
      </c>
      <c r="F702" s="36" t="s">
        <v>37</v>
      </c>
    </row>
    <row r="703" spans="1:6" ht="15" thickBot="1" x14ac:dyDescent="0.35">
      <c r="A703" s="37"/>
      <c r="B703" s="33" t="s">
        <v>38</v>
      </c>
      <c r="C703" s="34">
        <v>45765</v>
      </c>
      <c r="D703" s="37"/>
      <c r="E703" s="35" t="s">
        <v>39</v>
      </c>
      <c r="F703" s="36" t="s">
        <v>37</v>
      </c>
    </row>
    <row r="704" spans="1:6" ht="15" thickBot="1" x14ac:dyDescent="0.35">
      <c r="A704" s="37"/>
      <c r="B704" s="33" t="s">
        <v>35</v>
      </c>
      <c r="C704" s="38">
        <f>IF(C703="","",IF(AND(MONTH(C703)&gt;=1,MONTH(C703)&lt;=3),1,IF(AND(MONTH(C703)&gt;=4,MONTH(C703)&lt;=6),2,IF(AND(MONTH(C703)&gt;=7,MONTH(C703)&lt;=9),3,4))))</f>
        <v>2</v>
      </c>
      <c r="D704" s="37"/>
      <c r="E704" s="35" t="s">
        <v>40</v>
      </c>
      <c r="F704" s="36"/>
    </row>
    <row r="705" spans="1:6" ht="15" thickBot="1" x14ac:dyDescent="0.35">
      <c r="A705" s="30"/>
      <c r="B705" s="30"/>
      <c r="C705" s="30"/>
      <c r="D705" s="30"/>
      <c r="E705" s="30"/>
      <c r="F705" s="30"/>
    </row>
    <row r="706" spans="1:6" ht="15" thickBot="1" x14ac:dyDescent="0.35">
      <c r="A706" s="39" t="s">
        <v>41</v>
      </c>
      <c r="B706" s="39" t="s">
        <v>42</v>
      </c>
      <c r="C706" s="39" t="s">
        <v>43</v>
      </c>
      <c r="D706" s="39" t="s">
        <v>44</v>
      </c>
      <c r="E706" s="39" t="s">
        <v>45</v>
      </c>
      <c r="F706" s="39" t="s">
        <v>46</v>
      </c>
    </row>
    <row r="707" spans="1:6" x14ac:dyDescent="0.3">
      <c r="A707" s="40" t="s">
        <v>55</v>
      </c>
      <c r="B707" s="41" t="str">
        <f ca="1">IFERROR(INDEX(UNSPSCDes,MATCH(INDIRECT(ADDRESS(ROW(),COLUMN()-1,4)),UNSPSCCode,0)),IF(INDIRECT(ADDRESS(ROW(),COLUMN()-1,4))="50111510","Carne de ave o carne fresca",""))</f>
        <v>Carne de ave o carne fresca</v>
      </c>
      <c r="C707" s="42" t="str">
        <f>IFERROR(VLOOKUP("LB",'[1]Informacion '!P:Q,2,FALSE),"")</f>
        <v>Libra </v>
      </c>
      <c r="D707" s="40">
        <v>810</v>
      </c>
      <c r="E707" s="43">
        <v>95</v>
      </c>
      <c r="F707" s="44">
        <f ca="1">INDIRECT(ADDRESS(ROW(),COLUMN()-2,4))*INDIRECT(ADDRESS(ROW(),COLUMN()-1,4))</f>
        <v>76950</v>
      </c>
    </row>
    <row r="708" spans="1:6" x14ac:dyDescent="0.3">
      <c r="A708" s="40" t="s">
        <v>55</v>
      </c>
      <c r="B708" s="41" t="str">
        <f ca="1">IFERROR(INDEX(UNSPSCDes,MATCH(INDIRECT(ADDRESS(ROW(),COLUMN()-1,4)),UNSPSCCode,0)),IF(INDIRECT(ADDRESS(ROW(),COLUMN()-1,4))="50111510","Carne de ave o carne fresca",""))</f>
        <v>Carne de ave o carne fresca</v>
      </c>
      <c r="C708" s="42" t="str">
        <f>IFERROR(VLOOKUP("LB",'[1]Informacion '!P:Q,2,FALSE),"")</f>
        <v>Libra </v>
      </c>
      <c r="D708" s="40">
        <v>630</v>
      </c>
      <c r="E708" s="43">
        <v>140</v>
      </c>
      <c r="F708" s="44">
        <f ca="1">INDIRECT(ADDRESS(ROW(),COLUMN()-2,4))*INDIRECT(ADDRESS(ROW(),COLUMN()-1,4))</f>
        <v>88200</v>
      </c>
    </row>
    <row r="709" spans="1:6" ht="20.399999999999999" x14ac:dyDescent="0.3">
      <c r="A709" s="40" t="s">
        <v>56</v>
      </c>
      <c r="B709" s="41" t="str">
        <f ca="1">IFERROR(INDEX(UNSPSCDes,MATCH(INDIRECT(ADDRESS(ROW(),COLUMN()-1,4)),UNSPSCCode,0)),IF(INDIRECT(ADDRESS(ROW(),COLUMN()-1,4))="50112002","Carnes procesadas y preparadas congelado",""))</f>
        <v>Carnes procesadas y preparadas congelado</v>
      </c>
      <c r="C709" s="42" t="str">
        <f>IFERROR(VLOOKUP("LB",'[1]Informacion '!P:Q,2,FALSE),"")</f>
        <v>Libra </v>
      </c>
      <c r="D709" s="40">
        <v>540</v>
      </c>
      <c r="E709" s="43">
        <v>140</v>
      </c>
      <c r="F709" s="44">
        <f ca="1">INDIRECT(ADDRESS(ROW(),COLUMN()-2,4))*INDIRECT(ADDRESS(ROW(),COLUMN()-1,4))</f>
        <v>75600</v>
      </c>
    </row>
    <row r="710" spans="1:6" ht="20.399999999999999" x14ac:dyDescent="0.3">
      <c r="A710" s="40" t="s">
        <v>56</v>
      </c>
      <c r="B710" s="41" t="str">
        <f ca="1">IFERROR(INDEX(UNSPSCDes,MATCH(INDIRECT(ADDRESS(ROW(),COLUMN()-1,4)),UNSPSCCode,0)),IF(INDIRECT(ADDRESS(ROW(),COLUMN()-1,4))="50112002","Carnes procesadas y preparadas congelado",""))</f>
        <v>Carnes procesadas y preparadas congelado</v>
      </c>
      <c r="C710" s="42" t="str">
        <f>IFERROR(VLOOKUP("LB",'[1]Informacion '!P:Q,2,FALSE),"")</f>
        <v>Libra </v>
      </c>
      <c r="D710" s="40">
        <v>300</v>
      </c>
      <c r="E710" s="43">
        <v>130</v>
      </c>
      <c r="F710" s="44">
        <f ca="1">INDIRECT(ADDRESS(ROW(),COLUMN()-2,4))*INDIRECT(ADDRESS(ROW(),COLUMN()-1,4))</f>
        <v>39000</v>
      </c>
    </row>
    <row r="711" spans="1:6" x14ac:dyDescent="0.3">
      <c r="A711" s="40" t="s">
        <v>55</v>
      </c>
      <c r="B711" s="41" t="str">
        <f ca="1">IFERROR(INDEX(UNSPSCDes,MATCH(INDIRECT(ADDRESS(ROW(),COLUMN()-1,4)),UNSPSCCode,0)),IF(INDIRECT(ADDRESS(ROW(),COLUMN()-1,4))="50111510","Carne de ave o carne fresca",""))</f>
        <v>Carne de ave o carne fresca</v>
      </c>
      <c r="C711" s="42" t="str">
        <f>IFERROR(VLOOKUP("LB",'[1]Informacion '!P:Q,2,FALSE),"")</f>
        <v>Libra </v>
      </c>
      <c r="D711" s="40">
        <v>255</v>
      </c>
      <c r="E711" s="43">
        <v>100</v>
      </c>
      <c r="F711" s="44">
        <f ca="1">INDIRECT(ADDRESS(ROW(),COLUMN()-2,4))*INDIRECT(ADDRESS(ROW(),COLUMN()-1,4))</f>
        <v>25500</v>
      </c>
    </row>
    <row r="712" spans="1:6" x14ac:dyDescent="0.3">
      <c r="A712" s="30"/>
      <c r="B712" s="30"/>
      <c r="C712" s="30"/>
      <c r="D712" s="30"/>
      <c r="E712" s="45" t="s">
        <v>52</v>
      </c>
      <c r="F712" s="46">
        <f ca="1">SUM(Table37[MONTO TOTAL ESTIMADO])</f>
        <v>305250</v>
      </c>
    </row>
    <row r="713" spans="1:6" ht="15" thickBot="1" x14ac:dyDescent="0.35">
      <c r="A713" s="30"/>
      <c r="B713" s="30"/>
      <c r="C713" s="30"/>
      <c r="D713" s="30"/>
      <c r="E713" s="30"/>
      <c r="F713" s="30"/>
    </row>
    <row r="714" spans="1:6" ht="21" thickBot="1" x14ac:dyDescent="0.35">
      <c r="A714" s="31" t="s">
        <v>19</v>
      </c>
      <c r="B714" s="31" t="s">
        <v>20</v>
      </c>
      <c r="C714" s="31" t="s">
        <v>21</v>
      </c>
      <c r="D714" s="31" t="s">
        <v>22</v>
      </c>
      <c r="E714" s="31" t="s">
        <v>23</v>
      </c>
      <c r="F714" s="31" t="s">
        <v>24</v>
      </c>
    </row>
    <row r="715" spans="1:6" ht="21" thickBot="1" x14ac:dyDescent="0.35">
      <c r="A715" s="12" t="s">
        <v>273</v>
      </c>
      <c r="B715" s="12" t="s">
        <v>273</v>
      </c>
      <c r="C715" s="12" t="s">
        <v>27</v>
      </c>
      <c r="D715" s="12" t="s">
        <v>28</v>
      </c>
      <c r="E715" s="12" t="s">
        <v>59</v>
      </c>
      <c r="F715" s="12"/>
    </row>
    <row r="716" spans="1:6" ht="15" thickBot="1" x14ac:dyDescent="0.35">
      <c r="A716" s="32" t="s">
        <v>30</v>
      </c>
      <c r="B716" s="33" t="s">
        <v>31</v>
      </c>
      <c r="C716" s="34">
        <v>45768</v>
      </c>
      <c r="D716" s="32" t="s">
        <v>32</v>
      </c>
      <c r="E716" s="35" t="s">
        <v>33</v>
      </c>
      <c r="F716" s="36" t="s">
        <v>34</v>
      </c>
    </row>
    <row r="717" spans="1:6" ht="15" thickBot="1" x14ac:dyDescent="0.35">
      <c r="A717" s="37"/>
      <c r="B717" s="33" t="s">
        <v>35</v>
      </c>
      <c r="C717" s="38">
        <f>IF(C716="","",IF(AND(MONTH(C716)&gt;=1,MONTH(C716)&lt;=3),1,IF(AND(MONTH(C716)&gt;=4,MONTH(C716)&lt;=6),2,IF(AND(MONTH(C716)&gt;=7,MONTH(C716)&lt;=9),3,4))))</f>
        <v>2</v>
      </c>
      <c r="D717" s="37"/>
      <c r="E717" s="35" t="s">
        <v>36</v>
      </c>
      <c r="F717" s="36" t="s">
        <v>37</v>
      </c>
    </row>
    <row r="718" spans="1:6" ht="15" thickBot="1" x14ac:dyDescent="0.35">
      <c r="A718" s="37"/>
      <c r="B718" s="33" t="s">
        <v>38</v>
      </c>
      <c r="C718" s="34">
        <v>45772</v>
      </c>
      <c r="D718" s="37"/>
      <c r="E718" s="35" t="s">
        <v>39</v>
      </c>
      <c r="F718" s="36" t="s">
        <v>37</v>
      </c>
    </row>
    <row r="719" spans="1:6" ht="15" thickBot="1" x14ac:dyDescent="0.35">
      <c r="A719" s="37"/>
      <c r="B719" s="33" t="s">
        <v>35</v>
      </c>
      <c r="C719" s="38">
        <f>IF(C718="","",IF(AND(MONTH(C718)&gt;=1,MONTH(C718)&lt;=3),1,IF(AND(MONTH(C718)&gt;=4,MONTH(C718)&lt;=6),2,IF(AND(MONTH(C718)&gt;=7,MONTH(C718)&lt;=9),3,4))))</f>
        <v>2</v>
      </c>
      <c r="D719" s="37"/>
      <c r="E719" s="35" t="s">
        <v>40</v>
      </c>
      <c r="F719" s="36"/>
    </row>
    <row r="720" spans="1:6" ht="15" thickBot="1" x14ac:dyDescent="0.35">
      <c r="A720" s="30"/>
      <c r="B720" s="30"/>
      <c r="C720" s="30"/>
      <c r="D720" s="30"/>
      <c r="E720" s="30"/>
      <c r="F720" s="30"/>
    </row>
    <row r="721" spans="1:6" ht="15" thickBot="1" x14ac:dyDescent="0.35">
      <c r="A721" s="39" t="s">
        <v>41</v>
      </c>
      <c r="B721" s="39" t="s">
        <v>42</v>
      </c>
      <c r="C721" s="39" t="s">
        <v>43</v>
      </c>
      <c r="D721" s="39" t="s">
        <v>44</v>
      </c>
      <c r="E721" s="39" t="s">
        <v>45</v>
      </c>
      <c r="F721" s="39" t="s">
        <v>46</v>
      </c>
    </row>
    <row r="722" spans="1:6" ht="20.399999999999999" x14ac:dyDescent="0.3">
      <c r="A722" s="40" t="s">
        <v>60</v>
      </c>
      <c r="B722" s="41" t="str">
        <f ca="1">IFERROR(INDEX(UNSPSCDes,MATCH(INDIRECT(ADDRESS(ROW(),COLUMN()-1,4)),UNSPSCCode,0)),IF(INDIRECT(ADDRESS(ROW(),COLUMN()-1,4))="50151513","Aceites vegetales o  de planta comestibles",""))</f>
        <v>Aceites vegetales o  de planta comestibles</v>
      </c>
      <c r="C722" s="42" t="str">
        <f>IFERROR(VLOOKUP("GAL",'[1]Informacion '!P:Q,2,FALSE),"")</f>
        <v>Galón</v>
      </c>
      <c r="D722" s="40">
        <v>17</v>
      </c>
      <c r="E722" s="43">
        <v>1500</v>
      </c>
      <c r="F722" s="44">
        <f t="shared" ref="F722:F743" ca="1" si="22">INDIRECT(ADDRESS(ROW(),COLUMN()-2,4))*INDIRECT(ADDRESS(ROW(),COLUMN()-1,4))</f>
        <v>25500</v>
      </c>
    </row>
    <row r="723" spans="1:6" x14ac:dyDescent="0.3">
      <c r="A723" s="40" t="s">
        <v>61</v>
      </c>
      <c r="B723" s="41" t="str">
        <f ca="1">IFERROR(INDEX(UNSPSCDes,MATCH(INDIRECT(ADDRESS(ROW(),COLUMN()-1,4)),UNSPSCCode,0)),IF(INDIRECT(ADDRESS(ROW(),COLUMN()-1,4))="50171552","Mezcla para adobar",""))</f>
        <v>Mezcla para adobar</v>
      </c>
      <c r="C723" s="42" t="str">
        <f>IFERROR(VLOOKUP("CAJ",'[1]Informacion '!P:Q,2,FALSE),"")</f>
        <v>Caja</v>
      </c>
      <c r="D723" s="40">
        <v>4</v>
      </c>
      <c r="E723" s="43">
        <v>2300</v>
      </c>
      <c r="F723" s="44">
        <f t="shared" ca="1" si="22"/>
        <v>9200</v>
      </c>
    </row>
    <row r="724" spans="1:6" ht="20.399999999999999" x14ac:dyDescent="0.3">
      <c r="A724" s="40" t="s">
        <v>62</v>
      </c>
      <c r="B724" s="41" t="str">
        <f ca="1">IFERROR(INDEX(UNSPSCDes,MATCH(INDIRECT(ADDRESS(ROW(),COLUMN()-1,4)),UNSPSCCode,0)),IF(INDIRECT(ADDRESS(ROW(),COLUMN()-1,4))="50161509","Azucares naturales o productos endulzantes",""))</f>
        <v>Azucares naturales o productos endulzantes</v>
      </c>
      <c r="C724" s="42" t="str">
        <f>IFERROR(VLOOKUP("UD",'[1]Informacion '!P:Q,2,FALSE),"")</f>
        <v>Unidad</v>
      </c>
      <c r="D724" s="40">
        <v>5</v>
      </c>
      <c r="E724" s="43">
        <v>5000</v>
      </c>
      <c r="F724" s="44">
        <f t="shared" ca="1" si="22"/>
        <v>25000</v>
      </c>
    </row>
    <row r="725" spans="1:6" x14ac:dyDescent="0.3">
      <c r="A725" s="40" t="s">
        <v>63</v>
      </c>
      <c r="B725" s="41" t="str">
        <f ca="1">IFERROR(INDEX(UNSPSCDes,MATCH(INDIRECT(ADDRESS(ROW(),COLUMN()-1,4)),UNSPSCCode,0)),IF(INDIRECT(ADDRESS(ROW(),COLUMN()-1,4))="50192902","Pasta o fideos de repisa",""))</f>
        <v>Pasta o fideos de repisa</v>
      </c>
      <c r="C725" s="42" t="str">
        <f>IFERROR(VLOOKUP("UD",'[1]Informacion '!P:Q,2,FALSE),"")</f>
        <v>Unidad</v>
      </c>
      <c r="D725" s="40">
        <v>4</v>
      </c>
      <c r="E725" s="43">
        <v>500</v>
      </c>
      <c r="F725" s="44">
        <f t="shared" ca="1" si="22"/>
        <v>2000</v>
      </c>
    </row>
    <row r="726" spans="1:6" x14ac:dyDescent="0.3">
      <c r="A726" s="40" t="s">
        <v>64</v>
      </c>
      <c r="B726" s="41" t="str">
        <f ca="1">IFERROR(INDEX(UNSPSCDes,MATCH(INDIRECT(ADDRESS(ROW(),COLUMN()-1,4)),UNSPSCCode,0)),IF(INDIRECT(ADDRESS(ROW(),COLUMN()-1,4))="50221001","Granos",""))</f>
        <v>Granos</v>
      </c>
      <c r="C726" s="42" t="str">
        <f>IFERROR(VLOOKUP("UD",'[1]Informacion '!P:Q,2,FALSE),"")</f>
        <v>Unidad</v>
      </c>
      <c r="D726" s="40">
        <v>21</v>
      </c>
      <c r="E726" s="43">
        <v>650</v>
      </c>
      <c r="F726" s="44">
        <f t="shared" ca="1" si="22"/>
        <v>13650</v>
      </c>
    </row>
    <row r="727" spans="1:6" x14ac:dyDescent="0.3">
      <c r="A727" s="40" t="s">
        <v>64</v>
      </c>
      <c r="B727" s="41" t="str">
        <f ca="1">IFERROR(INDEX(UNSPSCDes,MATCH(INDIRECT(ADDRESS(ROW(),COLUMN()-1,4)),UNSPSCCode,0)),IF(INDIRECT(ADDRESS(ROW(),COLUMN()-1,4))="50221001","Granos",""))</f>
        <v>Granos</v>
      </c>
      <c r="C727" s="42" t="str">
        <f>IFERROR(VLOOKUP("LB",'[1]Informacion '!P:Q,2,FALSE),"")</f>
        <v>Libra </v>
      </c>
      <c r="D727" s="40">
        <v>200</v>
      </c>
      <c r="E727" s="43">
        <v>60</v>
      </c>
      <c r="F727" s="44">
        <f t="shared" ca="1" si="22"/>
        <v>12000</v>
      </c>
    </row>
    <row r="728" spans="1:6" x14ac:dyDescent="0.3">
      <c r="A728" s="40" t="s">
        <v>64</v>
      </c>
      <c r="B728" s="41" t="str">
        <f ca="1">IFERROR(INDEX(UNSPSCDes,MATCH(INDIRECT(ADDRESS(ROW(),COLUMN()-1,4)),UNSPSCCode,0)),IF(INDIRECT(ADDRESS(ROW(),COLUMN()-1,4))="50221001","Granos",""))</f>
        <v>Granos</v>
      </c>
      <c r="C728" s="42" t="str">
        <f>IFERROR(VLOOKUP("LB",'[1]Informacion '!P:Q,2,FALSE),"")</f>
        <v>Libra </v>
      </c>
      <c r="D728" s="40">
        <v>75</v>
      </c>
      <c r="E728" s="43">
        <v>55</v>
      </c>
      <c r="F728" s="44">
        <f t="shared" ca="1" si="22"/>
        <v>4125</v>
      </c>
    </row>
    <row r="729" spans="1:6" x14ac:dyDescent="0.3">
      <c r="A729" s="40" t="s">
        <v>64</v>
      </c>
      <c r="B729" s="41" t="str">
        <f ca="1">IFERROR(INDEX(UNSPSCDes,MATCH(INDIRECT(ADDRESS(ROW(),COLUMN()-1,4)),UNSPSCCode,0)),IF(INDIRECT(ADDRESS(ROW(),COLUMN()-1,4))="50221001","Granos",""))</f>
        <v>Granos</v>
      </c>
      <c r="C729" s="42" t="str">
        <f>IFERROR(VLOOKUP("UD",'[1]Informacion '!P:Q,2,FALSE),"")</f>
        <v>Unidad</v>
      </c>
      <c r="D729" s="40">
        <v>21</v>
      </c>
      <c r="E729" s="43">
        <v>400</v>
      </c>
      <c r="F729" s="44">
        <f t="shared" ca="1" si="22"/>
        <v>8400</v>
      </c>
    </row>
    <row r="730" spans="1:6" x14ac:dyDescent="0.3">
      <c r="A730" s="40" t="s">
        <v>66</v>
      </c>
      <c r="B730" s="41" t="str">
        <f ca="1">IFERROR(INDEX(UNSPSCDes,MATCH(INDIRECT(ADDRESS(ROW(),COLUMN()-1,4)),UNSPSCCode,0)),IF(INDIRECT(ADDRESS(ROW(),COLUMN()-1,4))="50171831","Salsas para cocinar",""))</f>
        <v>Salsas para cocinar</v>
      </c>
      <c r="C730" s="42" t="str">
        <f>IFERROR(VLOOKUP("UD",'[1]Informacion '!P:Q,2,FALSE),"")</f>
        <v>Unidad</v>
      </c>
      <c r="D730" s="40">
        <v>18</v>
      </c>
      <c r="E730" s="43">
        <v>550</v>
      </c>
      <c r="F730" s="44">
        <f t="shared" ca="1" si="22"/>
        <v>9900</v>
      </c>
    </row>
    <row r="731" spans="1:6" x14ac:dyDescent="0.3">
      <c r="A731" s="40" t="s">
        <v>65</v>
      </c>
      <c r="B731" s="41" t="str">
        <f ca="1">IFERROR(INDEX(UNSPSCDes,MATCH(INDIRECT(ADDRESS(ROW(),COLUMN()-1,4)),UNSPSCCode,0)),IF(INDIRECT(ADDRESS(ROW(),COLUMN()-1,4))="50171832","Salsas para ensaladas o dips",""))</f>
        <v>Salsas para ensaladas o dips</v>
      </c>
      <c r="C731" s="42" t="str">
        <f>IFERROR(VLOOKUP("GAL",'[1]Informacion '!P:Q,2,FALSE),"")</f>
        <v>Galón</v>
      </c>
      <c r="D731" s="40">
        <v>3</v>
      </c>
      <c r="E731" s="43">
        <v>750</v>
      </c>
      <c r="F731" s="44">
        <f t="shared" ca="1" si="22"/>
        <v>2250</v>
      </c>
    </row>
    <row r="732" spans="1:6" x14ac:dyDescent="0.3">
      <c r="A732" s="40" t="s">
        <v>64</v>
      </c>
      <c r="B732" s="41" t="str">
        <f ca="1">IFERROR(INDEX(UNSPSCDes,MATCH(INDIRECT(ADDRESS(ROW(),COLUMN()-1,4)),UNSPSCCode,0)),IF(INDIRECT(ADDRESS(ROW(),COLUMN()-1,4))="50221001","Granos",""))</f>
        <v>Granos</v>
      </c>
      <c r="C732" s="42" t="str">
        <f>IFERROR(VLOOKUP("UD",'[1]Informacion '!P:Q,2,FALSE),"")</f>
        <v>Unidad</v>
      </c>
      <c r="D732" s="40">
        <v>36</v>
      </c>
      <c r="E732" s="43">
        <v>5000</v>
      </c>
      <c r="F732" s="44">
        <f t="shared" ca="1" si="22"/>
        <v>180000</v>
      </c>
    </row>
    <row r="733" spans="1:6" x14ac:dyDescent="0.3">
      <c r="A733" s="40" t="s">
        <v>63</v>
      </c>
      <c r="B733" s="41" t="str">
        <f ca="1">IFERROR(INDEX(UNSPSCDes,MATCH(INDIRECT(ADDRESS(ROW(),COLUMN()-1,4)),UNSPSCCode,0)),IF(INDIRECT(ADDRESS(ROW(),COLUMN()-1,4))="50192902","Pasta o fideos de repisa",""))</f>
        <v>Pasta o fideos de repisa</v>
      </c>
      <c r="C733" s="42" t="str">
        <f>IFERROR(VLOOKUP("UD",'[1]Informacion '!P:Q,2,FALSE),"")</f>
        <v>Unidad</v>
      </c>
      <c r="D733" s="40">
        <v>12</v>
      </c>
      <c r="E733" s="43">
        <v>460</v>
      </c>
      <c r="F733" s="44">
        <f t="shared" ca="1" si="22"/>
        <v>5520</v>
      </c>
    </row>
    <row r="734" spans="1:6" x14ac:dyDescent="0.3">
      <c r="A734" s="40" t="s">
        <v>67</v>
      </c>
      <c r="B734" s="41" t="str">
        <f ca="1">IFERROR(INDEX(UNSPSCDes,MATCH(INDIRECT(ADDRESS(ROW(),COLUMN()-1,4)),UNSPSCCode,0)),IF(INDIRECT(ADDRESS(ROW(),COLUMN()-1,4))="50131802","Queso procesado",""))</f>
        <v>Queso procesado</v>
      </c>
      <c r="C734" s="42" t="str">
        <f>IFERROR(VLOOKUP("LB",'[1]Informacion '!P:Q,2,FALSE),"")</f>
        <v>Libra </v>
      </c>
      <c r="D734" s="40">
        <v>20</v>
      </c>
      <c r="E734" s="43">
        <v>225</v>
      </c>
      <c r="F734" s="44">
        <f t="shared" ca="1" si="22"/>
        <v>4500</v>
      </c>
    </row>
    <row r="735" spans="1:6" ht="20.399999999999999" x14ac:dyDescent="0.3">
      <c r="A735" s="40" t="s">
        <v>70</v>
      </c>
      <c r="B735" s="41" t="str">
        <f ca="1">IFERROR(INDEX(UNSPSCDes,MATCH(INDIRECT(ADDRESS(ROW(),COLUMN()-1,4)),UNSPSCCode,0)),IF(INDIRECT(ADDRESS(ROW(),COLUMN()-1,4))="50131702","Productos de leche o mantequilla de estante",""))</f>
        <v>Productos de leche o mantequilla de estante</v>
      </c>
      <c r="C735" s="42" t="str">
        <f>IFERROR(VLOOKUP("UD",'[1]Informacion '!P:Q,2,FALSE),"")</f>
        <v>Unidad</v>
      </c>
      <c r="D735" s="40">
        <v>300</v>
      </c>
      <c r="E735" s="43">
        <v>25</v>
      </c>
      <c r="F735" s="44">
        <f t="shared" ca="1" si="22"/>
        <v>7500</v>
      </c>
    </row>
    <row r="736" spans="1:6" x14ac:dyDescent="0.3">
      <c r="A736" s="40" t="s">
        <v>69</v>
      </c>
      <c r="B736" s="41" t="str">
        <f ca="1">IFERROR(INDEX(UNSPSCDes,MATCH(INDIRECT(ADDRESS(ROW(),COLUMN()-1,4)),UNSPSCCode,0)),IF(INDIRECT(ADDRESS(ROW(),COLUMN()-1,4))="50171707","Vinagres",""))</f>
        <v>Vinagres</v>
      </c>
      <c r="C736" s="42" t="str">
        <f>IFERROR(VLOOKUP("GAL",'[1]Informacion '!P:Q,2,FALSE),"")</f>
        <v>Galón</v>
      </c>
      <c r="D736" s="40">
        <v>12</v>
      </c>
      <c r="E736" s="43">
        <v>200</v>
      </c>
      <c r="F736" s="44">
        <f t="shared" ca="1" si="22"/>
        <v>2400</v>
      </c>
    </row>
    <row r="737" spans="1:6" x14ac:dyDescent="0.3">
      <c r="A737" s="40" t="s">
        <v>71</v>
      </c>
      <c r="B737" s="41" t="str">
        <f ca="1">IFERROR(INDEX(UNSPSCDes,MATCH(INDIRECT(ADDRESS(ROW(),COLUMN()-1,4)),UNSPSCCode,0)),IF(INDIRECT(ADDRESS(ROW(),COLUMN()-1,4))="50171550","Especies o extractos",""))</f>
        <v>Especies o extractos</v>
      </c>
      <c r="C737" s="42" t="str">
        <f>IFERROR(VLOOKUP("LB",'[1]Informacion '!P:Q,2,FALSE),"")</f>
        <v>Libra </v>
      </c>
      <c r="D737" s="40">
        <v>3</v>
      </c>
      <c r="E737" s="43">
        <v>480</v>
      </c>
      <c r="F737" s="44">
        <f t="shared" ca="1" si="22"/>
        <v>1440</v>
      </c>
    </row>
    <row r="738" spans="1:6" x14ac:dyDescent="0.3">
      <c r="A738" s="40" t="s">
        <v>72</v>
      </c>
      <c r="B738" s="41" t="str">
        <f ca="1">IFERROR(INDEX(UNSPSCDes,MATCH(INDIRECT(ADDRESS(ROW(),COLUMN()-1,4)),UNSPSCCode,0)),IF(INDIRECT(ADDRESS(ROW(),COLUMN()-1,4))="50193002","Bebidas para infantes",""))</f>
        <v>Bebidas para infantes</v>
      </c>
      <c r="C738" s="42" t="str">
        <f>IFERROR(VLOOKUP("UD",'[1]Informacion '!P:Q,2,FALSE),"")</f>
        <v>Unidad</v>
      </c>
      <c r="D738" s="40">
        <v>250</v>
      </c>
      <c r="E738" s="43">
        <v>25</v>
      </c>
      <c r="F738" s="44">
        <f t="shared" ca="1" si="22"/>
        <v>6250</v>
      </c>
    </row>
    <row r="739" spans="1:6" x14ac:dyDescent="0.3">
      <c r="A739" s="40" t="s">
        <v>73</v>
      </c>
      <c r="B739" s="41" t="str">
        <f ca="1">IFERROR(INDEX(UNSPSCDes,MATCH(INDIRECT(ADDRESS(ROW(),COLUMN()-1,4)),UNSPSCCode,0)),IF(INDIRECT(ADDRESS(ROW(),COLUMN()-1,4))="50192112","Maíz pira",""))</f>
        <v>Maíz pira</v>
      </c>
      <c r="C739" s="42" t="str">
        <f>IFERROR(VLOOKUP("PAQ",'[1]Informacion '!P:Q,2,FALSE),"")</f>
        <v>Paquete</v>
      </c>
      <c r="D739" s="40">
        <v>6</v>
      </c>
      <c r="E739" s="43">
        <v>70</v>
      </c>
      <c r="F739" s="44">
        <f t="shared" ca="1" si="22"/>
        <v>420</v>
      </c>
    </row>
    <row r="740" spans="1:6" x14ac:dyDescent="0.3">
      <c r="A740" s="40" t="s">
        <v>74</v>
      </c>
      <c r="B740" s="41" t="str">
        <f ca="1">IFERROR(INDEX(UNSPSCDes,MATCH(INDIRECT(ADDRESS(ROW(),COLUMN()-1,4)),UNSPSCCode,0)),IF(INDIRECT(ADDRESS(ROW(),COLUMN()-1,4))="50181903","Galletas sencillas de sal",""))</f>
        <v>Galletas sencillas de sal</v>
      </c>
      <c r="C740" s="42" t="str">
        <f>IFERROR(VLOOKUP("PAQ",'[1]Informacion '!P:Q,2,FALSE),"")</f>
        <v>Paquete</v>
      </c>
      <c r="D740" s="40">
        <v>18</v>
      </c>
      <c r="E740" s="43">
        <v>65</v>
      </c>
      <c r="F740" s="44">
        <f t="shared" ca="1" si="22"/>
        <v>1170</v>
      </c>
    </row>
    <row r="741" spans="1:6" x14ac:dyDescent="0.3">
      <c r="A741" s="40" t="s">
        <v>72</v>
      </c>
      <c r="B741" s="41" t="str">
        <f ca="1">IFERROR(INDEX(UNSPSCDes,MATCH(INDIRECT(ADDRESS(ROW(),COLUMN()-1,4)),UNSPSCCode,0)),IF(INDIRECT(ADDRESS(ROW(),COLUMN()-1,4))="50193002","Bebidas para infantes",""))</f>
        <v>Bebidas para infantes</v>
      </c>
      <c r="C741" s="42" t="str">
        <f>IFERROR(VLOOKUP("UD",'[1]Informacion '!P:Q,2,FALSE),"")</f>
        <v>Unidad</v>
      </c>
      <c r="D741" s="40">
        <v>130</v>
      </c>
      <c r="E741" s="43">
        <v>35</v>
      </c>
      <c r="F741" s="44">
        <f t="shared" ca="1" si="22"/>
        <v>4550</v>
      </c>
    </row>
    <row r="742" spans="1:6" x14ac:dyDescent="0.3">
      <c r="A742" s="40" t="s">
        <v>78</v>
      </c>
      <c r="B742" s="41" t="str">
        <f ca="1">IFERROR(INDEX(UNSPSCDes,MATCH(INDIRECT(ADDRESS(ROW(),COLUMN()-1,4)),UNSPSCCode,0)),IF(INDIRECT(ADDRESS(ROW(),COLUMN()-1,4))="50202304","Jugos de repisa",""))</f>
        <v>Jugos de repisa</v>
      </c>
      <c r="C742" s="42" t="str">
        <f>IFERROR(VLOOKUP("L",'[1]Informacion '!P:Q,2,FALSE),"")</f>
        <v>Litro</v>
      </c>
      <c r="D742" s="40">
        <v>54</v>
      </c>
      <c r="E742" s="43">
        <v>75</v>
      </c>
      <c r="F742" s="44">
        <f t="shared" ca="1" si="22"/>
        <v>4050</v>
      </c>
    </row>
    <row r="743" spans="1:6" ht="20.399999999999999" x14ac:dyDescent="0.3">
      <c r="A743" s="40" t="s">
        <v>70</v>
      </c>
      <c r="B743" s="41" t="str">
        <f ca="1">IFERROR(INDEX(UNSPSCDes,MATCH(INDIRECT(ADDRESS(ROW(),COLUMN()-1,4)),UNSPSCCode,0)),IF(INDIRECT(ADDRESS(ROW(),COLUMN()-1,4))="50131702","Productos de leche o mantequilla de estante",""))</f>
        <v>Productos de leche o mantequilla de estante</v>
      </c>
      <c r="C743" s="42" t="str">
        <f>IFERROR(VLOOKUP("UD",'[1]Informacion '!P:Q,2,FALSE),"")</f>
        <v>Unidad</v>
      </c>
      <c r="D743" s="40">
        <v>4</v>
      </c>
      <c r="E743" s="43">
        <v>1250</v>
      </c>
      <c r="F743" s="44">
        <f t="shared" ca="1" si="22"/>
        <v>5000</v>
      </c>
    </row>
    <row r="744" spans="1:6" x14ac:dyDescent="0.3">
      <c r="A744" s="30"/>
      <c r="B744" s="30"/>
      <c r="C744" s="30"/>
      <c r="D744" s="30"/>
      <c r="E744" s="45" t="s">
        <v>52</v>
      </c>
      <c r="F744" s="46">
        <f ca="1">SUM(Table38[MONTO TOTAL ESTIMADO])</f>
        <v>334825</v>
      </c>
    </row>
    <row r="745" spans="1:6" ht="15" thickBot="1" x14ac:dyDescent="0.35">
      <c r="A745" s="30"/>
      <c r="B745" s="30"/>
      <c r="C745" s="30"/>
      <c r="D745" s="30"/>
      <c r="E745" s="30"/>
      <c r="F745" s="30"/>
    </row>
    <row r="746" spans="1:6" ht="21" thickBot="1" x14ac:dyDescent="0.35">
      <c r="A746" s="31" t="s">
        <v>19</v>
      </c>
      <c r="B746" s="31" t="s">
        <v>20</v>
      </c>
      <c r="C746" s="31" t="s">
        <v>21</v>
      </c>
      <c r="D746" s="31" t="s">
        <v>22</v>
      </c>
      <c r="E746" s="31" t="s">
        <v>23</v>
      </c>
      <c r="F746" s="31" t="s">
        <v>24</v>
      </c>
    </row>
    <row r="747" spans="1:6" ht="21" thickBot="1" x14ac:dyDescent="0.35">
      <c r="A747" s="12" t="s">
        <v>274</v>
      </c>
      <c r="B747" s="12" t="s">
        <v>274</v>
      </c>
      <c r="C747" s="12" t="s">
        <v>27</v>
      </c>
      <c r="D747" s="12" t="s">
        <v>80</v>
      </c>
      <c r="E747" s="12" t="s">
        <v>59</v>
      </c>
      <c r="F747" s="12"/>
    </row>
    <row r="748" spans="1:6" ht="15" thickBot="1" x14ac:dyDescent="0.35">
      <c r="A748" s="32" t="s">
        <v>30</v>
      </c>
      <c r="B748" s="33" t="s">
        <v>31</v>
      </c>
      <c r="C748" s="34">
        <v>45761</v>
      </c>
      <c r="D748" s="32" t="s">
        <v>32</v>
      </c>
      <c r="E748" s="35" t="s">
        <v>33</v>
      </c>
      <c r="F748" s="36" t="s">
        <v>34</v>
      </c>
    </row>
    <row r="749" spans="1:6" ht="15" thickBot="1" x14ac:dyDescent="0.35">
      <c r="A749" s="37"/>
      <c r="B749" s="33" t="s">
        <v>35</v>
      </c>
      <c r="C749" s="38">
        <f>IF(C748="","",IF(AND(MONTH(C748)&gt;=1,MONTH(C748)&lt;=3),1,IF(AND(MONTH(C748)&gt;=4,MONTH(C748)&lt;=6),2,IF(AND(MONTH(C748)&gt;=7,MONTH(C748)&lt;=9),3,4))))</f>
        <v>2</v>
      </c>
      <c r="D749" s="37"/>
      <c r="E749" s="35" t="s">
        <v>36</v>
      </c>
      <c r="F749" s="36" t="s">
        <v>37</v>
      </c>
    </row>
    <row r="750" spans="1:6" ht="15" thickBot="1" x14ac:dyDescent="0.35">
      <c r="A750" s="37"/>
      <c r="B750" s="33" t="s">
        <v>38</v>
      </c>
      <c r="C750" s="34">
        <v>45763</v>
      </c>
      <c r="D750" s="37"/>
      <c r="E750" s="35" t="s">
        <v>39</v>
      </c>
      <c r="F750" s="36" t="s">
        <v>37</v>
      </c>
    </row>
    <row r="751" spans="1:6" ht="15" thickBot="1" x14ac:dyDescent="0.35">
      <c r="A751" s="37"/>
      <c r="B751" s="33" t="s">
        <v>35</v>
      </c>
      <c r="C751" s="38">
        <f>IF(C750="","",IF(AND(MONTH(C750)&gt;=1,MONTH(C750)&lt;=3),1,IF(AND(MONTH(C750)&gt;=4,MONTH(C750)&lt;=6),2,IF(AND(MONTH(C750)&gt;=7,MONTH(C750)&lt;=9),3,4))))</f>
        <v>2</v>
      </c>
      <c r="D751" s="37"/>
      <c r="E751" s="35" t="s">
        <v>40</v>
      </c>
      <c r="F751" s="36"/>
    </row>
    <row r="752" spans="1:6" ht="15" thickBot="1" x14ac:dyDescent="0.35">
      <c r="A752" s="30"/>
      <c r="B752" s="30"/>
      <c r="C752" s="30"/>
      <c r="D752" s="30"/>
      <c r="E752" s="30"/>
      <c r="F752" s="30"/>
    </row>
    <row r="753" spans="1:6" ht="15" thickBot="1" x14ac:dyDescent="0.35">
      <c r="A753" s="39" t="s">
        <v>41</v>
      </c>
      <c r="B753" s="39" t="s">
        <v>42</v>
      </c>
      <c r="C753" s="39" t="s">
        <v>43</v>
      </c>
      <c r="D753" s="39" t="s">
        <v>44</v>
      </c>
      <c r="E753" s="39" t="s">
        <v>45</v>
      </c>
      <c r="F753" s="39" t="s">
        <v>46</v>
      </c>
    </row>
    <row r="754" spans="1:6" x14ac:dyDescent="0.3">
      <c r="A754" s="40" t="s">
        <v>81</v>
      </c>
      <c r="B754" s="41" t="str">
        <f ca="1">IFERROR(INDEX(UNSPSCDes,MATCH(INDIRECT(ADDRESS(ROW(),COLUMN()-1,4)),UNSPSCCode,0)),IF(INDIRECT(ADDRESS(ROW(),COLUMN()-1,4))="14111506","Papel para impresión de computadores",""))</f>
        <v>Papel para impresión de computadores</v>
      </c>
      <c r="C754" s="42" t="str">
        <f>IFERROR(VLOOKUP("RESMA",'[1]Informacion '!P:Q,2,FALSE),"")</f>
        <v>Resma</v>
      </c>
      <c r="D754" s="40">
        <v>80</v>
      </c>
      <c r="E754" s="43">
        <v>400</v>
      </c>
      <c r="F754" s="44">
        <f t="shared" ref="F754:F762" ca="1" si="23">INDIRECT(ADDRESS(ROW(),COLUMN()-2,4))*INDIRECT(ADDRESS(ROW(),COLUMN()-1,4))</f>
        <v>32000</v>
      </c>
    </row>
    <row r="755" spans="1:6" x14ac:dyDescent="0.3">
      <c r="A755" s="40" t="s">
        <v>82</v>
      </c>
      <c r="B755" s="41" t="str">
        <f ca="1">IFERROR(INDEX(UNSPSCDes,MATCH(INDIRECT(ADDRESS(ROW(),COLUMN()-1,4)),UNSPSCCode,0)),IF(INDIRECT(ADDRESS(ROW(),COLUMN()-1,4))="31201610","Pegamentos",""))</f>
        <v>Pegamentos</v>
      </c>
      <c r="C755" s="42" t="str">
        <f>IFERROR(VLOOKUP("UD",'[1]Informacion '!P:Q,2,FALSE),"")</f>
        <v>Unidad</v>
      </c>
      <c r="D755" s="40">
        <v>8</v>
      </c>
      <c r="E755" s="43">
        <v>185</v>
      </c>
      <c r="F755" s="44">
        <f t="shared" ca="1" si="23"/>
        <v>1480</v>
      </c>
    </row>
    <row r="756" spans="1:6" x14ac:dyDescent="0.3">
      <c r="A756" s="40" t="s">
        <v>83</v>
      </c>
      <c r="B756" s="41" t="str">
        <f ca="1">IFERROR(INDEX(UNSPSCDes,MATCH(INDIRECT(ADDRESS(ROW(),COLUMN()-1,4)),UNSPSCCode,0)),IF(INDIRECT(ADDRESS(ROW(),COLUMN()-1,4))="44122104","Clips para papel",""))</f>
        <v>Clips para papel</v>
      </c>
      <c r="C756" s="42" t="str">
        <f>IFERROR(VLOOKUP("UD",'[1]Informacion '!P:Q,2,FALSE),"")</f>
        <v>Unidad</v>
      </c>
      <c r="D756" s="40">
        <v>12</v>
      </c>
      <c r="E756" s="43">
        <v>35</v>
      </c>
      <c r="F756" s="44">
        <f t="shared" ca="1" si="23"/>
        <v>420</v>
      </c>
    </row>
    <row r="757" spans="1:6" x14ac:dyDescent="0.3">
      <c r="A757" s="40" t="s">
        <v>83</v>
      </c>
      <c r="B757" s="41" t="str">
        <f ca="1">IFERROR(INDEX(UNSPSCDes,MATCH(INDIRECT(ADDRESS(ROW(),COLUMN()-1,4)),UNSPSCCode,0)),IF(INDIRECT(ADDRESS(ROW(),COLUMN()-1,4))="44122104","Clips para papel",""))</f>
        <v>Clips para papel</v>
      </c>
      <c r="C757" s="42" t="str">
        <f>IFERROR(VLOOKUP("UD",'[1]Informacion '!P:Q,2,FALSE),"")</f>
        <v>Unidad</v>
      </c>
      <c r="D757" s="40">
        <v>12</v>
      </c>
      <c r="E757" s="43">
        <v>50</v>
      </c>
      <c r="F757" s="44">
        <f t="shared" ca="1" si="23"/>
        <v>600</v>
      </c>
    </row>
    <row r="758" spans="1:6" x14ac:dyDescent="0.3">
      <c r="A758" s="40" t="s">
        <v>84</v>
      </c>
      <c r="B758" s="41" t="str">
        <f ca="1">IFERROR(INDEX(UNSPSCDes,MATCH(INDIRECT(ADDRESS(ROW(),COLUMN()-1,4)),UNSPSCCode,0)),IF(INDIRECT(ADDRESS(ROW(),COLUMN()-1,4))="44121701","Bolígrafos",""))</f>
        <v>Bolígrafos</v>
      </c>
      <c r="C758" s="42" t="str">
        <f>IFERROR(VLOOKUP("CAJ",'[1]Informacion '!P:Q,2,FALSE),"")</f>
        <v>Caja</v>
      </c>
      <c r="D758" s="40">
        <v>10</v>
      </c>
      <c r="E758" s="43">
        <v>200</v>
      </c>
      <c r="F758" s="44">
        <f t="shared" ca="1" si="23"/>
        <v>2000</v>
      </c>
    </row>
    <row r="759" spans="1:6" x14ac:dyDescent="0.3">
      <c r="A759" s="40" t="s">
        <v>275</v>
      </c>
      <c r="B759" s="41" t="str">
        <f ca="1">IFERROR(INDEX(UNSPSCDes,MATCH(INDIRECT(ADDRESS(ROW(),COLUMN()-1,4)),UNSPSCCode,0)),IF(INDIRECT(ADDRESS(ROW(),COLUMN()-1,4))="44121706","Lápices de madera",""))</f>
        <v>Lápices de madera</v>
      </c>
      <c r="C759" s="42" t="str">
        <f>IFERROR(VLOOKUP("CAJ",'[1]Informacion '!P:Q,2,FALSE),"")</f>
        <v>Caja</v>
      </c>
      <c r="D759" s="40">
        <v>10</v>
      </c>
      <c r="E759" s="43">
        <v>115</v>
      </c>
      <c r="F759" s="44">
        <f t="shared" ca="1" si="23"/>
        <v>1150</v>
      </c>
    </row>
    <row r="760" spans="1:6" x14ac:dyDescent="0.3">
      <c r="A760" s="40" t="s">
        <v>276</v>
      </c>
      <c r="B760" s="41" t="str">
        <f ca="1">IFERROR(INDEX(UNSPSCDes,MATCH(INDIRECT(ADDRESS(ROW(),COLUMN()-1,4)),UNSPSCCode,0)),IF(INDIRECT(ADDRESS(ROW(),COLUMN()-1,4))="44121615","Grapadoras",""))</f>
        <v>Grapadoras</v>
      </c>
      <c r="C760" s="42" t="str">
        <f>IFERROR(VLOOKUP("UD",'[1]Informacion '!P:Q,2,FALSE),"")</f>
        <v>Unidad</v>
      </c>
      <c r="D760" s="40">
        <v>12</v>
      </c>
      <c r="E760" s="43">
        <v>600</v>
      </c>
      <c r="F760" s="44">
        <f t="shared" ca="1" si="23"/>
        <v>7200</v>
      </c>
    </row>
    <row r="761" spans="1:6" x14ac:dyDescent="0.3">
      <c r="A761" s="40" t="s">
        <v>87</v>
      </c>
      <c r="B761" s="41" t="str">
        <f ca="1">IFERROR(INDEX(UNSPSCDes,MATCH(INDIRECT(ADDRESS(ROW(),COLUMN()-1,4)),UNSPSCCode,0)),IF(INDIRECT(ADDRESS(ROW(),COLUMN()-1,4))="44121618","Tijeras",""))</f>
        <v>Tijeras</v>
      </c>
      <c r="C761" s="42" t="str">
        <f>IFERROR(VLOOKUP("UD",'[1]Informacion '!P:Q,2,FALSE),"")</f>
        <v>Unidad</v>
      </c>
      <c r="D761" s="40">
        <v>12</v>
      </c>
      <c r="E761" s="43">
        <v>90</v>
      </c>
      <c r="F761" s="44">
        <f t="shared" ca="1" si="23"/>
        <v>1080</v>
      </c>
    </row>
    <row r="762" spans="1:6" ht="20.399999999999999" x14ac:dyDescent="0.3">
      <c r="A762" s="40" t="s">
        <v>88</v>
      </c>
      <c r="B762" s="41" t="str">
        <f ca="1">IFERROR(INDEX(UNSPSCDes,MATCH(INDIRECT(ADDRESS(ROW(),COLUMN()-1,4)),UNSPSCCode,0)),IF(INDIRECT(ADDRESS(ROW(),COLUMN()-1,4))="14111515","Papel para sumadora o máquina registradora",""))</f>
        <v>Papel para sumadora o máquina registradora</v>
      </c>
      <c r="C762" s="42" t="str">
        <f>IFERROR(VLOOKUP("UD",'[1]Informacion '!P:Q,2,FALSE),"")</f>
        <v>Unidad</v>
      </c>
      <c r="D762" s="40">
        <v>200</v>
      </c>
      <c r="E762" s="43">
        <v>80</v>
      </c>
      <c r="F762" s="44">
        <f t="shared" ca="1" si="23"/>
        <v>16000</v>
      </c>
    </row>
    <row r="763" spans="1:6" x14ac:dyDescent="0.3">
      <c r="A763" s="30"/>
      <c r="B763" s="30"/>
      <c r="C763" s="30"/>
      <c r="D763" s="30"/>
      <c r="E763" s="45" t="s">
        <v>52</v>
      </c>
      <c r="F763" s="46">
        <f ca="1">SUM(Table39[MONTO TOTAL ESTIMADO])</f>
        <v>61930</v>
      </c>
    </row>
    <row r="764" spans="1:6" ht="15" thickBot="1" x14ac:dyDescent="0.35">
      <c r="A764" s="30"/>
      <c r="B764" s="30"/>
      <c r="C764" s="30"/>
      <c r="D764" s="30"/>
      <c r="E764" s="30"/>
      <c r="F764" s="30"/>
    </row>
    <row r="765" spans="1:6" ht="21" thickBot="1" x14ac:dyDescent="0.35">
      <c r="A765" s="31" t="s">
        <v>19</v>
      </c>
      <c r="B765" s="31" t="s">
        <v>20</v>
      </c>
      <c r="C765" s="31" t="s">
        <v>21</v>
      </c>
      <c r="D765" s="31" t="s">
        <v>22</v>
      </c>
      <c r="E765" s="31" t="s">
        <v>23</v>
      </c>
      <c r="F765" s="31" t="s">
        <v>24</v>
      </c>
    </row>
    <row r="766" spans="1:6" ht="21" thickBot="1" x14ac:dyDescent="0.35">
      <c r="A766" s="12" t="s">
        <v>277</v>
      </c>
      <c r="B766" s="12" t="s">
        <v>277</v>
      </c>
      <c r="C766" s="12" t="s">
        <v>27</v>
      </c>
      <c r="D766" s="12" t="s">
        <v>28</v>
      </c>
      <c r="E766" s="12" t="s">
        <v>59</v>
      </c>
      <c r="F766" s="12"/>
    </row>
    <row r="767" spans="1:6" ht="15" thickBot="1" x14ac:dyDescent="0.35">
      <c r="A767" s="32" t="s">
        <v>30</v>
      </c>
      <c r="B767" s="33" t="s">
        <v>31</v>
      </c>
      <c r="C767" s="34">
        <v>45768</v>
      </c>
      <c r="D767" s="32" t="s">
        <v>32</v>
      </c>
      <c r="E767" s="35" t="s">
        <v>33</v>
      </c>
      <c r="F767" s="36" t="s">
        <v>34</v>
      </c>
    </row>
    <row r="768" spans="1:6" ht="15" thickBot="1" x14ac:dyDescent="0.35">
      <c r="A768" s="37"/>
      <c r="B768" s="33" t="s">
        <v>35</v>
      </c>
      <c r="C768" s="38">
        <f>IF(C767="","",IF(AND(MONTH(C767)&gt;=1,MONTH(C767)&lt;=3),1,IF(AND(MONTH(C767)&gt;=4,MONTH(C767)&lt;=6),2,IF(AND(MONTH(C767)&gt;=7,MONTH(C767)&lt;=9),3,4))))</f>
        <v>2</v>
      </c>
      <c r="D768" s="37"/>
      <c r="E768" s="35" t="s">
        <v>36</v>
      </c>
      <c r="F768" s="36" t="s">
        <v>37</v>
      </c>
    </row>
    <row r="769" spans="1:6" ht="15" thickBot="1" x14ac:dyDescent="0.35">
      <c r="A769" s="37"/>
      <c r="B769" s="33" t="s">
        <v>38</v>
      </c>
      <c r="C769" s="34">
        <v>45775</v>
      </c>
      <c r="D769" s="37"/>
      <c r="E769" s="35" t="s">
        <v>39</v>
      </c>
      <c r="F769" s="36" t="s">
        <v>37</v>
      </c>
    </row>
    <row r="770" spans="1:6" ht="15" thickBot="1" x14ac:dyDescent="0.35">
      <c r="A770" s="37"/>
      <c r="B770" s="33" t="s">
        <v>35</v>
      </c>
      <c r="C770" s="38">
        <f>IF(C769="","",IF(AND(MONTH(C769)&gt;=1,MONTH(C769)&lt;=3),1,IF(AND(MONTH(C769)&gt;=4,MONTH(C769)&lt;=6),2,IF(AND(MONTH(C769)&gt;=7,MONTH(C769)&lt;=9),3,4))))</f>
        <v>2</v>
      </c>
      <c r="D770" s="37"/>
      <c r="E770" s="35" t="s">
        <v>40</v>
      </c>
      <c r="F770" s="36"/>
    </row>
    <row r="771" spans="1:6" ht="15" thickBot="1" x14ac:dyDescent="0.35">
      <c r="A771" s="30"/>
      <c r="B771" s="30"/>
      <c r="C771" s="30"/>
      <c r="D771" s="30"/>
      <c r="E771" s="30"/>
      <c r="F771" s="30"/>
    </row>
    <row r="772" spans="1:6" ht="15" thickBot="1" x14ac:dyDescent="0.35">
      <c r="A772" s="39" t="s">
        <v>41</v>
      </c>
      <c r="B772" s="39" t="s">
        <v>42</v>
      </c>
      <c r="C772" s="39" t="s">
        <v>43</v>
      </c>
      <c r="D772" s="39" t="s">
        <v>44</v>
      </c>
      <c r="E772" s="39" t="s">
        <v>45</v>
      </c>
      <c r="F772" s="39" t="s">
        <v>46</v>
      </c>
    </row>
    <row r="773" spans="1:6" x14ac:dyDescent="0.3">
      <c r="A773" s="40" t="s">
        <v>92</v>
      </c>
      <c r="B773" s="41" t="str">
        <f ca="1">IFERROR(INDEX(UNSPSCDes,MATCH(INDIRECT(ADDRESS(ROW(),COLUMN()-1,4)),UNSPSCCode,0)),IF(INDIRECT(ADDRESS(ROW(),COLUMN()-1,4))="14111703","Toallas de papel",""))</f>
        <v>Toallas de papel</v>
      </c>
      <c r="C773" s="42" t="str">
        <f>IFERROR(VLOOKUP("UD",'[1]Informacion '!P:Q,2,FALSE),"")</f>
        <v>Unidad</v>
      </c>
      <c r="D773" s="40">
        <v>450</v>
      </c>
      <c r="E773" s="43">
        <v>200</v>
      </c>
      <c r="F773" s="44">
        <f t="shared" ref="F773:F785" ca="1" si="24">INDIRECT(ADDRESS(ROW(),COLUMN()-2,4))*INDIRECT(ADDRESS(ROW(),COLUMN()-1,4))</f>
        <v>90000</v>
      </c>
    </row>
    <row r="774" spans="1:6" x14ac:dyDescent="0.3">
      <c r="A774" s="40" t="s">
        <v>93</v>
      </c>
      <c r="B774" s="41" t="str">
        <f ca="1">IFERROR(INDEX(UNSPSCDes,MATCH(INDIRECT(ADDRESS(ROW(),COLUMN()-1,4)),UNSPSCCode,0)),IF(INDIRECT(ADDRESS(ROW(),COLUMN()-1,4))="14111704","Papel higiénico",""))</f>
        <v>Papel higiénico</v>
      </c>
      <c r="C774" s="42" t="str">
        <f>IFERROR(VLOOKUP("UD",'[1]Informacion '!P:Q,2,FALSE),"")</f>
        <v>Unidad</v>
      </c>
      <c r="D774" s="40">
        <v>350</v>
      </c>
      <c r="E774" s="43">
        <v>180</v>
      </c>
      <c r="F774" s="44">
        <f t="shared" ca="1" si="24"/>
        <v>63000</v>
      </c>
    </row>
    <row r="775" spans="1:6" x14ac:dyDescent="0.3">
      <c r="A775" s="40" t="s">
        <v>92</v>
      </c>
      <c r="B775" s="41" t="str">
        <f ca="1">IFERROR(INDEX(UNSPSCDes,MATCH(INDIRECT(ADDRESS(ROW(),COLUMN()-1,4)),UNSPSCCode,0)),IF(INDIRECT(ADDRESS(ROW(),COLUMN()-1,4))="14111703","Toallas de papel",""))</f>
        <v>Toallas de papel</v>
      </c>
      <c r="C775" s="42" t="str">
        <f>IFERROR(VLOOKUP("PAQ",'[1]Informacion '!P:Q,2,FALSE),"")</f>
        <v>Paquete</v>
      </c>
      <c r="D775" s="40">
        <v>4</v>
      </c>
      <c r="E775" s="43">
        <v>1000</v>
      </c>
      <c r="F775" s="44">
        <f t="shared" ca="1" si="24"/>
        <v>4000</v>
      </c>
    </row>
    <row r="776" spans="1:6" x14ac:dyDescent="0.3">
      <c r="A776" s="40" t="s">
        <v>94</v>
      </c>
      <c r="B776" s="41" t="str">
        <f ca="1">IFERROR(INDEX(UNSPSCDes,MATCH(INDIRECT(ADDRESS(ROW(),COLUMN()-1,4)),UNSPSCCode,0)),IF(INDIRECT(ADDRESS(ROW(),COLUMN()-1,4))="46181504","Guantes de protección",""))</f>
        <v>Guantes de protección</v>
      </c>
      <c r="C776" s="42" t="str">
        <f>IFERROR(VLOOKUP("UD",'[1]Informacion '!P:Q,2,FALSE),"")</f>
        <v>Unidad</v>
      </c>
      <c r="D776" s="40">
        <v>12</v>
      </c>
      <c r="E776" s="43">
        <v>90</v>
      </c>
      <c r="F776" s="44">
        <f t="shared" ca="1" si="24"/>
        <v>1080</v>
      </c>
    </row>
    <row r="777" spans="1:6" x14ac:dyDescent="0.3">
      <c r="A777" s="40" t="s">
        <v>95</v>
      </c>
      <c r="B777" s="41" t="str">
        <f ca="1">IFERROR(INDEX(UNSPSCDes,MATCH(INDIRECT(ADDRESS(ROW(),COLUMN()-1,4)),UNSPSCCode,0)),IF(INDIRECT(ADDRESS(ROW(),COLUMN()-1,4))="47131603","Esponjas",""))</f>
        <v>Esponjas</v>
      </c>
      <c r="C777" s="42" t="str">
        <f>IFERROR(VLOOKUP("UD",'[1]Informacion '!P:Q,2,FALSE),"")</f>
        <v>Unidad</v>
      </c>
      <c r="D777" s="40">
        <v>24</v>
      </c>
      <c r="E777" s="43">
        <v>50</v>
      </c>
      <c r="F777" s="44">
        <f t="shared" ca="1" si="24"/>
        <v>1200</v>
      </c>
    </row>
    <row r="778" spans="1:6" x14ac:dyDescent="0.3">
      <c r="A778" s="40" t="s">
        <v>96</v>
      </c>
      <c r="B778" s="41" t="str">
        <f ca="1">IFERROR(INDEX(UNSPSCDes,MATCH(INDIRECT(ADDRESS(ROW(),COLUMN()-1,4)),UNSPSCCode,0)),IF(INDIRECT(ADDRESS(ROW(),COLUMN()-1,4))="47121701","Bolsas de basura",""))</f>
        <v>Bolsas de basura</v>
      </c>
      <c r="C778" s="42" t="str">
        <f>IFERROR(VLOOKUP("MIL",'[1]Informacion '!P:Q,2,FALSE),"")</f>
        <v>Millar</v>
      </c>
      <c r="D778" s="40">
        <v>10</v>
      </c>
      <c r="E778" s="43">
        <v>6000</v>
      </c>
      <c r="F778" s="44">
        <f t="shared" ca="1" si="24"/>
        <v>60000</v>
      </c>
    </row>
    <row r="779" spans="1:6" x14ac:dyDescent="0.3">
      <c r="A779" s="40" t="s">
        <v>96</v>
      </c>
      <c r="B779" s="41" t="str">
        <f ca="1">IFERROR(INDEX(UNSPSCDes,MATCH(INDIRECT(ADDRESS(ROW(),COLUMN()-1,4)),UNSPSCCode,0)),IF(INDIRECT(ADDRESS(ROW(),COLUMN()-1,4))="47121701","Bolsas de basura",""))</f>
        <v>Bolsas de basura</v>
      </c>
      <c r="C779" s="42" t="str">
        <f>IFERROR(VLOOKUP("MIL",'[1]Informacion '!P:Q,2,FALSE),"")</f>
        <v>Millar</v>
      </c>
      <c r="D779" s="40">
        <v>7</v>
      </c>
      <c r="E779" s="43">
        <v>1800</v>
      </c>
      <c r="F779" s="44">
        <f t="shared" ca="1" si="24"/>
        <v>12600</v>
      </c>
    </row>
    <row r="780" spans="1:6" x14ac:dyDescent="0.3">
      <c r="A780" s="40" t="s">
        <v>97</v>
      </c>
      <c r="B780" s="41" t="str">
        <f ca="1">IFERROR(INDEX(UNSPSCDes,MATCH(INDIRECT(ADDRESS(ROW(),COLUMN()-1,4)),UNSPSCCode,0)),IF(INDIRECT(ADDRESS(ROW(),COLUMN()-1,4))="53131608","Jabones",""))</f>
        <v>Jabones</v>
      </c>
      <c r="C780" s="42" t="str">
        <f>IFERROR(VLOOKUP("GAL",'[1]Informacion '!P:Q,2,FALSE),"")</f>
        <v>Galón</v>
      </c>
      <c r="D780" s="40">
        <v>36</v>
      </c>
      <c r="E780" s="43">
        <v>140</v>
      </c>
      <c r="F780" s="44">
        <f t="shared" ca="1" si="24"/>
        <v>5040</v>
      </c>
    </row>
    <row r="781" spans="1:6" x14ac:dyDescent="0.3">
      <c r="A781" s="40" t="s">
        <v>97</v>
      </c>
      <c r="B781" s="41" t="str">
        <f ca="1">IFERROR(INDEX(UNSPSCDes,MATCH(INDIRECT(ADDRESS(ROW(),COLUMN()-1,4)),UNSPSCCode,0)),IF(INDIRECT(ADDRESS(ROW(),COLUMN()-1,4))="53131608","Jabones",""))</f>
        <v>Jabones</v>
      </c>
      <c r="C781" s="42" t="str">
        <f>IFERROR(VLOOKUP("GAL",'[1]Informacion '!P:Q,2,FALSE),"")</f>
        <v>Galón</v>
      </c>
      <c r="D781" s="40">
        <v>54</v>
      </c>
      <c r="E781" s="43">
        <v>160</v>
      </c>
      <c r="F781" s="44">
        <f t="shared" ca="1" si="24"/>
        <v>8640</v>
      </c>
    </row>
    <row r="782" spans="1:6" x14ac:dyDescent="0.3">
      <c r="A782" s="40" t="s">
        <v>97</v>
      </c>
      <c r="B782" s="41" t="str">
        <f ca="1">IFERROR(INDEX(UNSPSCDes,MATCH(INDIRECT(ADDRESS(ROW(),COLUMN()-1,4)),UNSPSCCode,0)),IF(INDIRECT(ADDRESS(ROW(),COLUMN()-1,4))="53131608","Jabones",""))</f>
        <v>Jabones</v>
      </c>
      <c r="C782" s="42" t="str">
        <f>IFERROR(VLOOKUP("UD",'[1]Informacion '!P:Q,2,FALSE),"")</f>
        <v>Unidad</v>
      </c>
      <c r="D782" s="40">
        <v>50</v>
      </c>
      <c r="E782" s="43">
        <v>130</v>
      </c>
      <c r="F782" s="44">
        <f t="shared" ca="1" si="24"/>
        <v>6500</v>
      </c>
    </row>
    <row r="783" spans="1:6" x14ac:dyDescent="0.3">
      <c r="A783" s="40" t="s">
        <v>101</v>
      </c>
      <c r="B783" s="41" t="str">
        <f ca="1">IFERROR(INDEX(UNSPSCDes,MATCH(INDIRECT(ADDRESS(ROW(),COLUMN()-1,4)),UNSPSCCode,0)),IF(INDIRECT(ADDRESS(ROW(),COLUMN()-1,4))="47131604","Escobas",""))</f>
        <v>Escobas</v>
      </c>
      <c r="C783" s="42" t="str">
        <f>IFERROR(VLOOKUP("UD",'[1]Informacion '!P:Q,2,FALSE),"")</f>
        <v>Unidad</v>
      </c>
      <c r="D783" s="40">
        <v>12</v>
      </c>
      <c r="E783" s="43">
        <v>180</v>
      </c>
      <c r="F783" s="44">
        <f t="shared" ca="1" si="24"/>
        <v>2160</v>
      </c>
    </row>
    <row r="784" spans="1:6" x14ac:dyDescent="0.3">
      <c r="A784" s="40" t="s">
        <v>98</v>
      </c>
      <c r="B784" s="41" t="str">
        <f ca="1">IFERROR(INDEX(UNSPSCDes,MATCH(INDIRECT(ADDRESS(ROW(),COLUMN()-1,4)),UNSPSCCode,0)),IF(INDIRECT(ADDRESS(ROW(),COLUMN()-1,4))="47131803","Desinfectantes para uso doméstico",""))</f>
        <v>Desinfectantes para uso doméstico</v>
      </c>
      <c r="C784" s="42" t="str">
        <f>IFERROR(VLOOKUP("GAL",'[1]Informacion '!P:Q,2,FALSE),"")</f>
        <v>Galón</v>
      </c>
      <c r="D784" s="40">
        <v>250</v>
      </c>
      <c r="E784" s="43">
        <v>180</v>
      </c>
      <c r="F784" s="44">
        <f t="shared" ca="1" si="24"/>
        <v>45000</v>
      </c>
    </row>
    <row r="785" spans="1:6" x14ac:dyDescent="0.3">
      <c r="A785" s="40" t="s">
        <v>99</v>
      </c>
      <c r="B785" s="41" t="str">
        <f ca="1">IFERROR(INDEX(UNSPSCDes,MATCH(INDIRECT(ADDRESS(ROW(),COLUMN()-1,4)),UNSPSCCode,0)),IF(INDIRECT(ADDRESS(ROW(),COLUMN()-1,4))="47131807","Blanqueadores",""))</f>
        <v>Blanqueadores</v>
      </c>
      <c r="C785" s="42" t="str">
        <f>IFERROR(VLOOKUP("GAL",'[1]Informacion '!P:Q,2,FALSE),"")</f>
        <v>Galón</v>
      </c>
      <c r="D785" s="40">
        <v>250</v>
      </c>
      <c r="E785" s="43">
        <v>90</v>
      </c>
      <c r="F785" s="44">
        <f t="shared" ca="1" si="24"/>
        <v>22500</v>
      </c>
    </row>
    <row r="786" spans="1:6" x14ac:dyDescent="0.3">
      <c r="A786" s="30"/>
      <c r="B786" s="30"/>
      <c r="C786" s="30"/>
      <c r="D786" s="30"/>
      <c r="E786" s="45" t="s">
        <v>52</v>
      </c>
      <c r="F786" s="46">
        <f ca="1">SUM(Table40[MONTO TOTAL ESTIMADO])</f>
        <v>321720</v>
      </c>
    </row>
    <row r="787" spans="1:6" ht="15" thickBot="1" x14ac:dyDescent="0.35">
      <c r="A787" s="30"/>
      <c r="B787" s="30"/>
      <c r="C787" s="30"/>
      <c r="D787" s="30"/>
      <c r="E787" s="30"/>
      <c r="F787" s="30"/>
    </row>
    <row r="788" spans="1:6" ht="21" thickBot="1" x14ac:dyDescent="0.35">
      <c r="A788" s="31" t="s">
        <v>19</v>
      </c>
      <c r="B788" s="31" t="s">
        <v>20</v>
      </c>
      <c r="C788" s="31" t="s">
        <v>21</v>
      </c>
      <c r="D788" s="31" t="s">
        <v>22</v>
      </c>
      <c r="E788" s="31" t="s">
        <v>23</v>
      </c>
      <c r="F788" s="31" t="s">
        <v>24</v>
      </c>
    </row>
    <row r="789" spans="1:6" ht="21" thickBot="1" x14ac:dyDescent="0.35">
      <c r="A789" s="12" t="s">
        <v>278</v>
      </c>
      <c r="B789" s="12" t="s">
        <v>278</v>
      </c>
      <c r="C789" s="12" t="s">
        <v>27</v>
      </c>
      <c r="D789" s="12" t="s">
        <v>28</v>
      </c>
      <c r="E789" s="12" t="s">
        <v>59</v>
      </c>
      <c r="F789" s="12"/>
    </row>
    <row r="790" spans="1:6" ht="15" thickBot="1" x14ac:dyDescent="0.35">
      <c r="A790" s="32" t="s">
        <v>30</v>
      </c>
      <c r="B790" s="33" t="s">
        <v>31</v>
      </c>
      <c r="C790" s="34">
        <v>45761</v>
      </c>
      <c r="D790" s="32" t="s">
        <v>32</v>
      </c>
      <c r="E790" s="35" t="s">
        <v>33</v>
      </c>
      <c r="F790" s="36" t="s">
        <v>34</v>
      </c>
    </row>
    <row r="791" spans="1:6" ht="15" thickBot="1" x14ac:dyDescent="0.35">
      <c r="A791" s="37"/>
      <c r="B791" s="33" t="s">
        <v>35</v>
      </c>
      <c r="C791" s="38">
        <f>IF(C790="","",IF(AND(MONTH(C790)&gt;=1,MONTH(C790)&lt;=3),1,IF(AND(MONTH(C790)&gt;=4,MONTH(C790)&lt;=6),2,IF(AND(MONTH(C790)&gt;=7,MONTH(C790)&lt;=9),3,4))))</f>
        <v>2</v>
      </c>
      <c r="D791" s="37"/>
      <c r="E791" s="35" t="s">
        <v>36</v>
      </c>
      <c r="F791" s="36" t="s">
        <v>37</v>
      </c>
    </row>
    <row r="792" spans="1:6" ht="15" thickBot="1" x14ac:dyDescent="0.35">
      <c r="A792" s="37"/>
      <c r="B792" s="33" t="s">
        <v>38</v>
      </c>
      <c r="C792" s="34">
        <v>45765</v>
      </c>
      <c r="D792" s="37"/>
      <c r="E792" s="35" t="s">
        <v>39</v>
      </c>
      <c r="F792" s="36" t="s">
        <v>37</v>
      </c>
    </row>
    <row r="793" spans="1:6" ht="15" thickBot="1" x14ac:dyDescent="0.35">
      <c r="A793" s="37"/>
      <c r="B793" s="33" t="s">
        <v>35</v>
      </c>
      <c r="C793" s="38">
        <f>IF(C792="","",IF(AND(MONTH(C792)&gt;=1,MONTH(C792)&lt;=3),1,IF(AND(MONTH(C792)&gt;=4,MONTH(C792)&lt;=6),2,IF(AND(MONTH(C792)&gt;=7,MONTH(C792)&lt;=9),3,4))))</f>
        <v>2</v>
      </c>
      <c r="D793" s="37"/>
      <c r="E793" s="35" t="s">
        <v>40</v>
      </c>
      <c r="F793" s="36"/>
    </row>
    <row r="794" spans="1:6" ht="15" thickBot="1" x14ac:dyDescent="0.35">
      <c r="A794" s="30"/>
      <c r="B794" s="30"/>
      <c r="C794" s="30"/>
      <c r="D794" s="30"/>
      <c r="E794" s="30"/>
      <c r="F794" s="30"/>
    </row>
    <row r="795" spans="1:6" ht="15" thickBot="1" x14ac:dyDescent="0.35">
      <c r="A795" s="39" t="s">
        <v>41</v>
      </c>
      <c r="B795" s="39" t="s">
        <v>42</v>
      </c>
      <c r="C795" s="39" t="s">
        <v>43</v>
      </c>
      <c r="D795" s="39" t="s">
        <v>44</v>
      </c>
      <c r="E795" s="39" t="s">
        <v>45</v>
      </c>
      <c r="F795" s="39" t="s">
        <v>46</v>
      </c>
    </row>
    <row r="796" spans="1:6" x14ac:dyDescent="0.3">
      <c r="A796" s="40" t="s">
        <v>111</v>
      </c>
      <c r="B796" s="41" t="str">
        <f ca="1">IFERROR(INDEX(UNSPSCDes,MATCH(INDIRECT(ADDRESS(ROW(),COLUMN()-1,4)),UNSPSCCode,0)),IF(INDIRECT(ADDRESS(ROW(),COLUMN()-1,4))="10121503","Maíz para forraje",""))</f>
        <v>Maíz para forraje</v>
      </c>
      <c r="C796" s="42" t="str">
        <f>IFERROR(VLOOKUP("UD",'[1]Informacion '!P:Q,2,FALSE),"")</f>
        <v>Unidad</v>
      </c>
      <c r="D796" s="40">
        <v>200</v>
      </c>
      <c r="E796" s="43">
        <v>950</v>
      </c>
      <c r="F796" s="44">
        <f t="shared" ref="F796:F814" ca="1" si="25">INDIRECT(ADDRESS(ROW(),COLUMN()-2,4))*INDIRECT(ADDRESS(ROW(),COLUMN()-1,4))</f>
        <v>190000</v>
      </c>
    </row>
    <row r="797" spans="1:6" x14ac:dyDescent="0.3">
      <c r="A797" s="40" t="s">
        <v>112</v>
      </c>
      <c r="B797" s="41" t="str">
        <f ca="1">IFERROR(INDEX(UNSPSCDes,MATCH(INDIRECT(ADDRESS(ROW(),COLUMN()-1,4)),UNSPSCCode,0)),IF(INDIRECT(ADDRESS(ROW(),COLUMN()-1,4))="10121501","Salvado de trigo puro",""))</f>
        <v>Salvado de trigo puro</v>
      </c>
      <c r="C797" s="42" t="str">
        <f>IFERROR(VLOOKUP("Q",'[1]Informacion '!P:Q,2,FALSE),"")</f>
        <v>Quintal</v>
      </c>
      <c r="D797" s="40">
        <v>100</v>
      </c>
      <c r="E797" s="43">
        <v>700</v>
      </c>
      <c r="F797" s="44">
        <f t="shared" ca="1" si="25"/>
        <v>70000</v>
      </c>
    </row>
    <row r="798" spans="1:6" x14ac:dyDescent="0.3">
      <c r="A798" s="40" t="s">
        <v>111</v>
      </c>
      <c r="B798" s="41" t="str">
        <f ca="1">IFERROR(INDEX(UNSPSCDes,MATCH(INDIRECT(ADDRESS(ROW(),COLUMN()-1,4)),UNSPSCCode,0)),IF(INDIRECT(ADDRESS(ROW(),COLUMN()-1,4))="10121503","Maíz para forraje",""))</f>
        <v>Maíz para forraje</v>
      </c>
      <c r="C798" s="42" t="str">
        <f>IFERROR(VLOOKUP("Q",'[1]Informacion '!P:Q,2,FALSE),"")</f>
        <v>Quintal</v>
      </c>
      <c r="D798" s="40">
        <v>100</v>
      </c>
      <c r="E798" s="43">
        <v>1100</v>
      </c>
      <c r="F798" s="44">
        <f t="shared" ca="1" si="25"/>
        <v>110000</v>
      </c>
    </row>
    <row r="799" spans="1:6" x14ac:dyDescent="0.3">
      <c r="A799" s="40" t="s">
        <v>111</v>
      </c>
      <c r="B799" s="41" t="str">
        <f ca="1">IFERROR(INDEX(UNSPSCDes,MATCH(INDIRECT(ADDRESS(ROW(),COLUMN()-1,4)),UNSPSCCode,0)),IF(INDIRECT(ADDRESS(ROW(),COLUMN()-1,4))="10121503","Maíz para forraje",""))</f>
        <v>Maíz para forraje</v>
      </c>
      <c r="C799" s="42" t="str">
        <f>IFERROR(VLOOKUP("Q",'[1]Informacion '!P:Q,2,FALSE),"")</f>
        <v>Quintal</v>
      </c>
      <c r="D799" s="40">
        <v>90</v>
      </c>
      <c r="E799" s="43">
        <v>1850</v>
      </c>
      <c r="F799" s="44">
        <f t="shared" ca="1" si="25"/>
        <v>166500</v>
      </c>
    </row>
    <row r="800" spans="1:6" x14ac:dyDescent="0.3">
      <c r="A800" s="40" t="s">
        <v>111</v>
      </c>
      <c r="B800" s="41" t="str">
        <f ca="1">IFERROR(INDEX(UNSPSCDes,MATCH(INDIRECT(ADDRESS(ROW(),COLUMN()-1,4)),UNSPSCCode,0)),IF(INDIRECT(ADDRESS(ROW(),COLUMN()-1,4))="10121503","Maíz para forraje",""))</f>
        <v>Maíz para forraje</v>
      </c>
      <c r="C800" s="42" t="str">
        <f>IFERROR(VLOOKUP("Q",'[1]Informacion '!P:Q,2,FALSE),"")</f>
        <v>Quintal</v>
      </c>
      <c r="D800" s="40">
        <v>60</v>
      </c>
      <c r="E800" s="43">
        <v>1300</v>
      </c>
      <c r="F800" s="44">
        <f t="shared" ca="1" si="25"/>
        <v>78000</v>
      </c>
    </row>
    <row r="801" spans="1:6" x14ac:dyDescent="0.3">
      <c r="A801" s="40" t="s">
        <v>113</v>
      </c>
      <c r="B801" s="41" t="str">
        <f ca="1">IFERROR(INDEX(UNSPSCDes,MATCH(INDIRECT(ADDRESS(ROW(),COLUMN()-1,4)),UNSPSCCode,0)),IF(INDIRECT(ADDRESS(ROW(),COLUMN()-1,4))="10121702","Alimento granulado para peces",""))</f>
        <v>Alimento granulado para peces</v>
      </c>
      <c r="C801" s="42" t="str">
        <f>IFERROR(VLOOKUP("UD",'[1]Informacion '!P:Q,2,FALSE),"")</f>
        <v>Unidad</v>
      </c>
      <c r="D801" s="40">
        <v>4</v>
      </c>
      <c r="E801" s="43">
        <v>2200</v>
      </c>
      <c r="F801" s="44">
        <f t="shared" ca="1" si="25"/>
        <v>8800</v>
      </c>
    </row>
    <row r="802" spans="1:6" x14ac:dyDescent="0.3">
      <c r="A802" s="40" t="s">
        <v>112</v>
      </c>
      <c r="B802" s="41" t="str">
        <f ca="1">IFERROR(INDEX(UNSPSCDes,MATCH(INDIRECT(ADDRESS(ROW(),COLUMN()-1,4)),UNSPSCCode,0)),IF(INDIRECT(ADDRESS(ROW(),COLUMN()-1,4))="10121501","Salvado de trigo puro",""))</f>
        <v>Salvado de trigo puro</v>
      </c>
      <c r="C802" s="42" t="str">
        <f>IFERROR(VLOOKUP("Q",'[1]Informacion '!P:Q,2,FALSE),"")</f>
        <v>Quintal</v>
      </c>
      <c r="D802" s="40">
        <v>40</v>
      </c>
      <c r="E802" s="43">
        <v>2000</v>
      </c>
      <c r="F802" s="44">
        <f t="shared" ca="1" si="25"/>
        <v>80000</v>
      </c>
    </row>
    <row r="803" spans="1:6" x14ac:dyDescent="0.3">
      <c r="A803" s="40" t="s">
        <v>114</v>
      </c>
      <c r="B803" s="41" t="str">
        <f ca="1">IFERROR(INDEX(UNSPSCDes,MATCH(INDIRECT(ADDRESS(ROW(),COLUMN()-1,4)),UNSPSCCode,0)),IF(INDIRECT(ADDRESS(ROW(),COLUMN()-1,4))="10121801","Comida seca para perros",""))</f>
        <v>Comida seca para perros</v>
      </c>
      <c r="C803" s="42" t="str">
        <f>IFERROR(VLOOKUP("UD",'[1]Informacion '!P:Q,2,FALSE),"")</f>
        <v>Unidad</v>
      </c>
      <c r="D803" s="40">
        <v>2</v>
      </c>
      <c r="E803" s="43">
        <v>12000</v>
      </c>
      <c r="F803" s="44">
        <f t="shared" ca="1" si="25"/>
        <v>24000</v>
      </c>
    </row>
    <row r="804" spans="1:6" x14ac:dyDescent="0.3">
      <c r="A804" s="40" t="s">
        <v>68</v>
      </c>
      <c r="B804" s="41" t="str">
        <f ca="1">IFERROR(INDEX(UNSPSCDes,MATCH(INDIRECT(ADDRESS(ROW(),COLUMN()-1,4)),UNSPSCCode,0)),IF(INDIRECT(ADDRESS(ROW(),COLUMN()-1,4))="50171551","Sal de mesa",""))</f>
        <v>Sal de mesa</v>
      </c>
      <c r="C804" s="42" t="str">
        <f>IFERROR(VLOOKUP("UD",'[1]Informacion '!P:Q,2,FALSE),"")</f>
        <v>Unidad</v>
      </c>
      <c r="D804" s="40">
        <v>2</v>
      </c>
      <c r="E804" s="43">
        <v>250</v>
      </c>
      <c r="F804" s="44">
        <f t="shared" ca="1" si="25"/>
        <v>500</v>
      </c>
    </row>
    <row r="805" spans="1:6" x14ac:dyDescent="0.3">
      <c r="A805" s="40" t="s">
        <v>114</v>
      </c>
      <c r="B805" s="41" t="str">
        <f ca="1">IFERROR(INDEX(UNSPSCDes,MATCH(INDIRECT(ADDRESS(ROW(),COLUMN()-1,4)),UNSPSCCode,0)),IF(INDIRECT(ADDRESS(ROW(),COLUMN()-1,4))="10121801","Comida seca para perros",""))</f>
        <v>Comida seca para perros</v>
      </c>
      <c r="C805" s="42" t="str">
        <f>IFERROR(VLOOKUP("UD",'[1]Informacion '!P:Q,2,FALSE),"")</f>
        <v>Unidad</v>
      </c>
      <c r="D805" s="40">
        <v>10</v>
      </c>
      <c r="E805" s="43">
        <v>2500</v>
      </c>
      <c r="F805" s="44">
        <f t="shared" ca="1" si="25"/>
        <v>25000</v>
      </c>
    </row>
    <row r="806" spans="1:6" ht="20.399999999999999" x14ac:dyDescent="0.3">
      <c r="A806" s="40" t="s">
        <v>62</v>
      </c>
      <c r="B806" s="41" t="str">
        <f ca="1">IFERROR(INDEX(UNSPSCDes,MATCH(INDIRECT(ADDRESS(ROW(),COLUMN()-1,4)),UNSPSCCode,0)),IF(INDIRECT(ADDRESS(ROW(),COLUMN()-1,4))="50161509","Azucares naturales o productos endulzantes",""))</f>
        <v>Azucares naturales o productos endulzantes</v>
      </c>
      <c r="C806" s="42" t="str">
        <f>IFERROR(VLOOKUP("UD",'[1]Informacion '!P:Q,2,FALSE),"")</f>
        <v>Unidad</v>
      </c>
      <c r="D806" s="40">
        <v>3</v>
      </c>
      <c r="E806" s="43">
        <v>7000</v>
      </c>
      <c r="F806" s="44">
        <f t="shared" ca="1" si="25"/>
        <v>21000</v>
      </c>
    </row>
    <row r="807" spans="1:6" x14ac:dyDescent="0.3">
      <c r="A807" s="40" t="s">
        <v>115</v>
      </c>
      <c r="B807" s="41" t="str">
        <f ca="1">IFERROR(INDEX(UNSPSCDes,MATCH(INDIRECT(ADDRESS(ROW(),COLUMN()-1,4)),UNSPSCCode,0)),IF(INDIRECT(ADDRESS(ROW(),COLUMN()-1,4))="10121504","Sorgo para forraje",""))</f>
        <v>Sorgo para forraje</v>
      </c>
      <c r="C807" s="42" t="str">
        <f>IFERROR(VLOOKUP("UD",'[1]Informacion '!P:Q,2,FALSE),"")</f>
        <v>Unidad</v>
      </c>
      <c r="D807" s="40">
        <v>6</v>
      </c>
      <c r="E807" s="43">
        <v>7000</v>
      </c>
      <c r="F807" s="44">
        <f t="shared" ca="1" si="25"/>
        <v>42000</v>
      </c>
    </row>
    <row r="808" spans="1:6" x14ac:dyDescent="0.3">
      <c r="A808" s="40" t="s">
        <v>116</v>
      </c>
      <c r="B808" s="41" t="str">
        <f ca="1">IFERROR(INDEX(UNSPSCDes,MATCH(INDIRECT(ADDRESS(ROW(),COLUMN()-1,4)),UNSPSCCode,0)),IF(INDIRECT(ADDRESS(ROW(),COLUMN()-1,4))="10171503","Harina de pescado",""))</f>
        <v>Harina de pescado</v>
      </c>
      <c r="C808" s="42" t="str">
        <f>IFERROR(VLOOKUP("UD",'[1]Informacion '!P:Q,2,FALSE),"")</f>
        <v>Unidad</v>
      </c>
      <c r="D808" s="40">
        <v>6</v>
      </c>
      <c r="E808" s="43">
        <v>3500</v>
      </c>
      <c r="F808" s="44">
        <f t="shared" ca="1" si="25"/>
        <v>21000</v>
      </c>
    </row>
    <row r="809" spans="1:6" x14ac:dyDescent="0.3">
      <c r="A809" s="40" t="s">
        <v>114</v>
      </c>
      <c r="B809" s="41" t="str">
        <f ca="1">IFERROR(INDEX(UNSPSCDes,MATCH(INDIRECT(ADDRESS(ROW(),COLUMN()-1,4)),UNSPSCCode,0)),IF(INDIRECT(ADDRESS(ROW(),COLUMN()-1,4))="10121801","Comida seca para perros",""))</f>
        <v>Comida seca para perros</v>
      </c>
      <c r="C809" s="42" t="str">
        <f>IFERROR(VLOOKUP("UD",'[1]Informacion '!P:Q,2,FALSE),"")</f>
        <v>Unidad</v>
      </c>
      <c r="D809" s="40">
        <v>6</v>
      </c>
      <c r="E809" s="43">
        <v>3800</v>
      </c>
      <c r="F809" s="44">
        <f t="shared" ca="1" si="25"/>
        <v>22800</v>
      </c>
    </row>
    <row r="810" spans="1:6" x14ac:dyDescent="0.3">
      <c r="A810" s="40" t="s">
        <v>117</v>
      </c>
      <c r="B810" s="41" t="str">
        <f ca="1">IFERROR(INDEX(UNSPSCDes,MATCH(INDIRECT(ADDRESS(ROW(),COLUMN()-1,4)),UNSPSCCode,0)),IF(INDIRECT(ADDRESS(ROW(),COLUMN()-1,4))="10122102","Comida para visones",""))</f>
        <v>Comida para visones</v>
      </c>
      <c r="C810" s="42" t="str">
        <f>IFERROR(VLOOKUP("UD",'[1]Informacion '!P:Q,2,FALSE),"")</f>
        <v>Unidad</v>
      </c>
      <c r="D810" s="40">
        <v>4</v>
      </c>
      <c r="E810" s="43">
        <v>13000</v>
      </c>
      <c r="F810" s="44">
        <f t="shared" ca="1" si="25"/>
        <v>52000</v>
      </c>
    </row>
    <row r="811" spans="1:6" x14ac:dyDescent="0.3">
      <c r="A811" s="40" t="s">
        <v>118</v>
      </c>
      <c r="B811" s="41" t="str">
        <f ca="1">IFERROR(INDEX(UNSPSCDes,MATCH(INDIRECT(ADDRESS(ROW(),COLUMN()-1,4)),UNSPSCCode,0)),IF(INDIRECT(ADDRESS(ROW(),COLUMN()-1,4))="10121804","Comida seca para gatos",""))</f>
        <v>Comida seca para gatos</v>
      </c>
      <c r="C811" s="42" t="str">
        <f>IFERROR(VLOOKUP("UD",'[1]Informacion '!P:Q,2,FALSE),"")</f>
        <v>Unidad</v>
      </c>
      <c r="D811" s="40">
        <v>6</v>
      </c>
      <c r="E811" s="43">
        <v>2100</v>
      </c>
      <c r="F811" s="44">
        <f t="shared" ca="1" si="25"/>
        <v>12600</v>
      </c>
    </row>
    <row r="812" spans="1:6" x14ac:dyDescent="0.3">
      <c r="A812" s="40" t="s">
        <v>112</v>
      </c>
      <c r="B812" s="41" t="str">
        <f ca="1">IFERROR(INDEX(UNSPSCDes,MATCH(INDIRECT(ADDRESS(ROW(),COLUMN()-1,4)),UNSPSCCode,0)),IF(INDIRECT(ADDRESS(ROW(),COLUMN()-1,4))="10121501","Salvado de trigo puro",""))</f>
        <v>Salvado de trigo puro</v>
      </c>
      <c r="C812" s="42" t="str">
        <f>IFERROR(VLOOKUP("UD",'[1]Informacion '!P:Q,2,FALSE),"")</f>
        <v>Unidad</v>
      </c>
      <c r="D812" s="40">
        <v>3</v>
      </c>
      <c r="E812" s="43">
        <v>1500</v>
      </c>
      <c r="F812" s="44">
        <f t="shared" ca="1" si="25"/>
        <v>4500</v>
      </c>
    </row>
    <row r="813" spans="1:6" x14ac:dyDescent="0.3">
      <c r="A813" s="40" t="s">
        <v>117</v>
      </c>
      <c r="B813" s="41" t="str">
        <f ca="1">IFERROR(INDEX(UNSPSCDes,MATCH(INDIRECT(ADDRESS(ROW(),COLUMN()-1,4)),UNSPSCCode,0)),IF(INDIRECT(ADDRESS(ROW(),COLUMN()-1,4))="10122102","Comida para visones",""))</f>
        <v>Comida para visones</v>
      </c>
      <c r="C813" s="42" t="str">
        <f>IFERROR(VLOOKUP("UD",'[1]Informacion '!P:Q,2,FALSE),"")</f>
        <v>Unidad</v>
      </c>
      <c r="D813" s="40">
        <v>4</v>
      </c>
      <c r="E813" s="43">
        <v>13000</v>
      </c>
      <c r="F813" s="44">
        <f t="shared" ca="1" si="25"/>
        <v>52000</v>
      </c>
    </row>
    <row r="814" spans="1:6" x14ac:dyDescent="0.3">
      <c r="A814" s="40" t="s">
        <v>119</v>
      </c>
      <c r="B814" s="41" t="str">
        <f ca="1">IFERROR(INDEX(UNSPSCDes,MATCH(INDIRECT(ADDRESS(ROW(),COLUMN()-1,4)),UNSPSCCode,0)),IF(INDIRECT(ADDRESS(ROW(),COLUMN()-1,4))="10121604","Alimento avícola",""))</f>
        <v>Alimento avícola</v>
      </c>
      <c r="C814" s="42" t="str">
        <f>IFERROR(VLOOKUP("UD",'[1]Informacion '!P:Q,2,FALSE),"")</f>
        <v>Unidad</v>
      </c>
      <c r="D814" s="40">
        <v>7</v>
      </c>
      <c r="E814" s="43">
        <v>3000</v>
      </c>
      <c r="F814" s="44">
        <f t="shared" ca="1" si="25"/>
        <v>21000</v>
      </c>
    </row>
    <row r="815" spans="1:6" x14ac:dyDescent="0.3">
      <c r="A815" s="30"/>
      <c r="B815" s="30"/>
      <c r="C815" s="30"/>
      <c r="D815" s="30"/>
      <c r="E815" s="45" t="s">
        <v>52</v>
      </c>
      <c r="F815" s="46">
        <f ca="1">SUM(Table41[MONTO TOTAL ESTIMADO])</f>
        <v>1001700</v>
      </c>
    </row>
    <row r="816" spans="1:6" ht="15" thickBot="1" x14ac:dyDescent="0.35">
      <c r="A816" s="30"/>
      <c r="B816" s="30"/>
      <c r="C816" s="30"/>
      <c r="D816" s="30"/>
      <c r="E816" s="30"/>
      <c r="F816" s="30"/>
    </row>
    <row r="817" spans="1:6" ht="21" thickBot="1" x14ac:dyDescent="0.35">
      <c r="A817" s="31" t="s">
        <v>19</v>
      </c>
      <c r="B817" s="31" t="s">
        <v>20</v>
      </c>
      <c r="C817" s="31" t="s">
        <v>21</v>
      </c>
      <c r="D817" s="31" t="s">
        <v>22</v>
      </c>
      <c r="E817" s="31" t="s">
        <v>23</v>
      </c>
      <c r="F817" s="31" t="s">
        <v>24</v>
      </c>
    </row>
    <row r="818" spans="1:6" ht="21" thickBot="1" x14ac:dyDescent="0.35">
      <c r="A818" s="12" t="s">
        <v>279</v>
      </c>
      <c r="B818" s="12" t="s">
        <v>279</v>
      </c>
      <c r="C818" s="12" t="s">
        <v>27</v>
      </c>
      <c r="D818" s="12" t="s">
        <v>80</v>
      </c>
      <c r="E818" s="12" t="s">
        <v>59</v>
      </c>
      <c r="F818" s="12"/>
    </row>
    <row r="819" spans="1:6" ht="15" thickBot="1" x14ac:dyDescent="0.35">
      <c r="A819" s="32" t="s">
        <v>30</v>
      </c>
      <c r="B819" s="33" t="s">
        <v>31</v>
      </c>
      <c r="C819" s="34">
        <v>45761</v>
      </c>
      <c r="D819" s="32" t="s">
        <v>32</v>
      </c>
      <c r="E819" s="35" t="s">
        <v>33</v>
      </c>
      <c r="F819" s="36" t="s">
        <v>34</v>
      </c>
    </row>
    <row r="820" spans="1:6" ht="15" thickBot="1" x14ac:dyDescent="0.35">
      <c r="A820" s="37"/>
      <c r="B820" s="33" t="s">
        <v>35</v>
      </c>
      <c r="C820" s="38">
        <f>IF(C819="","",IF(AND(MONTH(C819)&gt;=1,MONTH(C819)&lt;=3),1,IF(AND(MONTH(C819)&gt;=4,MONTH(C819)&lt;=6),2,IF(AND(MONTH(C819)&gt;=7,MONTH(C819)&lt;=9),3,4))))</f>
        <v>2</v>
      </c>
      <c r="D820" s="37"/>
      <c r="E820" s="35" t="s">
        <v>36</v>
      </c>
      <c r="F820" s="36" t="s">
        <v>37</v>
      </c>
    </row>
    <row r="821" spans="1:6" ht="15" thickBot="1" x14ac:dyDescent="0.35">
      <c r="A821" s="37"/>
      <c r="B821" s="33" t="s">
        <v>38</v>
      </c>
      <c r="C821" s="34">
        <v>45764</v>
      </c>
      <c r="D821" s="37"/>
      <c r="E821" s="35" t="s">
        <v>39</v>
      </c>
      <c r="F821" s="36" t="s">
        <v>37</v>
      </c>
    </row>
    <row r="822" spans="1:6" ht="15" thickBot="1" x14ac:dyDescent="0.35">
      <c r="A822" s="37"/>
      <c r="B822" s="33" t="s">
        <v>35</v>
      </c>
      <c r="C822" s="38">
        <f>IF(C821="","",IF(AND(MONTH(C821)&gt;=1,MONTH(C821)&lt;=3),1,IF(AND(MONTH(C821)&gt;=4,MONTH(C821)&lt;=6),2,IF(AND(MONTH(C821)&gt;=7,MONTH(C821)&lt;=9),3,4))))</f>
        <v>2</v>
      </c>
      <c r="D822" s="37"/>
      <c r="E822" s="35" t="s">
        <v>40</v>
      </c>
      <c r="F822" s="36"/>
    </row>
    <row r="823" spans="1:6" ht="15" thickBot="1" x14ac:dyDescent="0.35">
      <c r="A823" s="30"/>
      <c r="B823" s="30"/>
      <c r="C823" s="30"/>
      <c r="D823" s="30"/>
      <c r="E823" s="30"/>
      <c r="F823" s="30"/>
    </row>
    <row r="824" spans="1:6" ht="15" thickBot="1" x14ac:dyDescent="0.35">
      <c r="A824" s="39" t="s">
        <v>41</v>
      </c>
      <c r="B824" s="39" t="s">
        <v>42</v>
      </c>
      <c r="C824" s="39" t="s">
        <v>43</v>
      </c>
      <c r="D824" s="39" t="s">
        <v>44</v>
      </c>
      <c r="E824" s="39" t="s">
        <v>45</v>
      </c>
      <c r="F824" s="39" t="s">
        <v>46</v>
      </c>
    </row>
    <row r="825" spans="1:6" x14ac:dyDescent="0.3">
      <c r="A825" s="40" t="s">
        <v>124</v>
      </c>
      <c r="B825" s="41" t="str">
        <f ca="1">IFERROR(INDEX(UNSPSCDes,MATCH(INDIRECT(ADDRESS(ROW(),COLUMN()-1,4)),UNSPSCCode,0)),IF(INDIRECT(ADDRESS(ROW(),COLUMN()-1,4))="42132205","Guantes de cirugía",""))</f>
        <v>Guantes de cirugía</v>
      </c>
      <c r="C825" s="42" t="str">
        <f>IFERROR(VLOOKUP("CAJ",'[1]Informacion '!P:Q,2,FALSE),"")</f>
        <v>Caja</v>
      </c>
      <c r="D825" s="40">
        <v>30</v>
      </c>
      <c r="E825" s="43">
        <v>350</v>
      </c>
      <c r="F825" s="44">
        <f t="shared" ref="F825:F834" ca="1" si="26">INDIRECT(ADDRESS(ROW(),COLUMN()-2,4))*INDIRECT(ADDRESS(ROW(),COLUMN()-1,4))</f>
        <v>10500</v>
      </c>
    </row>
    <row r="826" spans="1:6" x14ac:dyDescent="0.3">
      <c r="A826" s="40" t="s">
        <v>124</v>
      </c>
      <c r="B826" s="41" t="str">
        <f ca="1">IFERROR(INDEX(UNSPSCDes,MATCH(INDIRECT(ADDRESS(ROW(),COLUMN()-1,4)),UNSPSCCode,0)),IF(INDIRECT(ADDRESS(ROW(),COLUMN()-1,4))="42132205","Guantes de cirugía",""))</f>
        <v>Guantes de cirugía</v>
      </c>
      <c r="C826" s="42" t="str">
        <f>IFERROR(VLOOKUP("CAJ",'[1]Informacion '!P:Q,2,FALSE),"")</f>
        <v>Caja</v>
      </c>
      <c r="D826" s="40">
        <v>30</v>
      </c>
      <c r="E826" s="43">
        <v>350</v>
      </c>
      <c r="F826" s="44">
        <f t="shared" ca="1" si="26"/>
        <v>10500</v>
      </c>
    </row>
    <row r="827" spans="1:6" x14ac:dyDescent="0.3">
      <c r="A827" s="40" t="s">
        <v>124</v>
      </c>
      <c r="B827" s="41" t="str">
        <f ca="1">IFERROR(INDEX(UNSPSCDes,MATCH(INDIRECT(ADDRESS(ROW(),COLUMN()-1,4)),UNSPSCCode,0)),IF(INDIRECT(ADDRESS(ROW(),COLUMN()-1,4))="42132205","Guantes de cirugía",""))</f>
        <v>Guantes de cirugía</v>
      </c>
      <c r="C827" s="42" t="str">
        <f>IFERROR(VLOOKUP("CAJ",'[1]Informacion '!P:Q,2,FALSE),"")</f>
        <v>Caja</v>
      </c>
      <c r="D827" s="40">
        <v>30</v>
      </c>
      <c r="E827" s="43">
        <v>350</v>
      </c>
      <c r="F827" s="44">
        <f t="shared" ca="1" si="26"/>
        <v>10500</v>
      </c>
    </row>
    <row r="828" spans="1:6" x14ac:dyDescent="0.3">
      <c r="A828" s="40" t="s">
        <v>125</v>
      </c>
      <c r="B828" s="41" t="str">
        <f ca="1">IFERROR(INDEX(UNSPSCDes,MATCH(INDIRECT(ADDRESS(ROW(),COLUMN()-1,4)),UNSPSCCode,0)),IF(INDIRECT(ADDRESS(ROW(),COLUMN()-1,4))="10111305","Tratamientos medicados para mascotas",""))</f>
        <v>Tratamientos medicados para mascotas</v>
      </c>
      <c r="C828" s="42" t="str">
        <f>IFERROR(VLOOKUP("UD",'[1]Informacion '!P:Q,2,FALSE),"")</f>
        <v>Unidad</v>
      </c>
      <c r="D828" s="40">
        <v>3</v>
      </c>
      <c r="E828" s="43">
        <v>1600</v>
      </c>
      <c r="F828" s="44">
        <f t="shared" ca="1" si="26"/>
        <v>4800</v>
      </c>
    </row>
    <row r="829" spans="1:6" x14ac:dyDescent="0.3">
      <c r="A829" s="40" t="s">
        <v>125</v>
      </c>
      <c r="B829" s="41" t="str">
        <f ca="1">IFERROR(INDEX(UNSPSCDes,MATCH(INDIRECT(ADDRESS(ROW(),COLUMN()-1,4)),UNSPSCCode,0)),IF(INDIRECT(ADDRESS(ROW(),COLUMN()-1,4))="10111305","Tratamientos medicados para mascotas",""))</f>
        <v>Tratamientos medicados para mascotas</v>
      </c>
      <c r="C829" s="42" t="str">
        <f>IFERROR(VLOOKUP("UD",'[1]Informacion '!P:Q,2,FALSE),"")</f>
        <v>Unidad</v>
      </c>
      <c r="D829" s="40">
        <v>3</v>
      </c>
      <c r="E829" s="43">
        <v>2000</v>
      </c>
      <c r="F829" s="44">
        <f t="shared" ca="1" si="26"/>
        <v>6000</v>
      </c>
    </row>
    <row r="830" spans="1:6" ht="20.399999999999999" x14ac:dyDescent="0.3">
      <c r="A830" s="40" t="s">
        <v>126</v>
      </c>
      <c r="B830" s="41" t="str">
        <f ca="1">IFERROR(INDEX(UNSPSCDes,MATCH(INDIRECT(ADDRESS(ROW(),COLUMN()-1,4)),UNSPSCCode,0)),IF(INDIRECT(ADDRESS(ROW(),COLUMN()-1,4))="42121606","Productos dermatológicos o anti protozoarios para uso veterinario",""))</f>
        <v>Productos dermatológicos o anti protozoarios para uso veterinario</v>
      </c>
      <c r="C830" s="42" t="str">
        <f>IFERROR(VLOOKUP("UD",'[1]Informacion '!P:Q,2,FALSE),"")</f>
        <v>Unidad</v>
      </c>
      <c r="D830" s="40">
        <v>24</v>
      </c>
      <c r="E830" s="43">
        <v>400</v>
      </c>
      <c r="F830" s="44">
        <f t="shared" ca="1" si="26"/>
        <v>9600</v>
      </c>
    </row>
    <row r="831" spans="1:6" x14ac:dyDescent="0.3">
      <c r="A831" s="40" t="s">
        <v>127</v>
      </c>
      <c r="B831" s="41" t="str">
        <f ca="1">IFERROR(INDEX(UNSPSCDes,MATCH(INDIRECT(ADDRESS(ROW(),COLUMN()-1,4)),UNSPSCCode,0)),IF(INDIRECT(ADDRESS(ROW(),COLUMN()-1,4))="12141916","Yodo i",""))</f>
        <v>Yodo i</v>
      </c>
      <c r="C831" s="42" t="str">
        <f>IFERROR(VLOOKUP("GAL",'[1]Informacion '!P:Q,2,FALSE),"")</f>
        <v>Galón</v>
      </c>
      <c r="D831" s="40">
        <v>3</v>
      </c>
      <c r="E831" s="43">
        <v>1000</v>
      </c>
      <c r="F831" s="44">
        <f t="shared" ca="1" si="26"/>
        <v>3000</v>
      </c>
    </row>
    <row r="832" spans="1:6" x14ac:dyDescent="0.3">
      <c r="A832" s="40" t="s">
        <v>130</v>
      </c>
      <c r="B832" s="41" t="str">
        <f ca="1">IFERROR(INDEX(UNSPSCDes,MATCH(INDIRECT(ADDRESS(ROW(),COLUMN()-1,4)),UNSPSCCode,0)),IF(INDIRECT(ADDRESS(ROW(),COLUMN()-1,4))="51142106","Ibuprofeno",""))</f>
        <v>Ibuprofeno</v>
      </c>
      <c r="C832" s="42" t="str">
        <f>IFERROR(VLOOKUP("CAJ",'[1]Informacion '!P:Q,2,FALSE),"")</f>
        <v>Caja</v>
      </c>
      <c r="D832" s="40">
        <v>2</v>
      </c>
      <c r="E832" s="43">
        <v>800</v>
      </c>
      <c r="F832" s="44">
        <f t="shared" ca="1" si="26"/>
        <v>1600</v>
      </c>
    </row>
    <row r="833" spans="1:6" x14ac:dyDescent="0.3">
      <c r="A833" s="40" t="s">
        <v>131</v>
      </c>
      <c r="B833" s="41" t="str">
        <f ca="1">IFERROR(INDEX(UNSPSCDes,MATCH(INDIRECT(ADDRESS(ROW(),COLUMN()-1,4)),UNSPSCCode,0)),IF(INDIRECT(ADDRESS(ROW(),COLUMN()-1,4))="51142001","Acetaminofén",""))</f>
        <v>Acetaminofén</v>
      </c>
      <c r="C833" s="42" t="str">
        <f>IFERROR(VLOOKUP("CAJ",'[1]Informacion '!P:Q,2,FALSE),"")</f>
        <v>Caja</v>
      </c>
      <c r="D833" s="40">
        <v>2</v>
      </c>
      <c r="E833" s="43">
        <v>600</v>
      </c>
      <c r="F833" s="44">
        <f t="shared" ca="1" si="26"/>
        <v>1200</v>
      </c>
    </row>
    <row r="834" spans="1:6" x14ac:dyDescent="0.3">
      <c r="A834" s="40" t="s">
        <v>131</v>
      </c>
      <c r="B834" s="41" t="str">
        <f ca="1">IFERROR(INDEX(UNSPSCDes,MATCH(INDIRECT(ADDRESS(ROW(),COLUMN()-1,4)),UNSPSCCode,0)),IF(INDIRECT(ADDRESS(ROW(),COLUMN()-1,4))="51142001","Acetaminofén",""))</f>
        <v>Acetaminofén</v>
      </c>
      <c r="C834" s="42" t="str">
        <f>IFERROR(VLOOKUP("UD",'[1]Informacion '!P:Q,2,FALSE),"")</f>
        <v>Unidad</v>
      </c>
      <c r="D834" s="40">
        <v>2</v>
      </c>
      <c r="E834" s="43">
        <v>250</v>
      </c>
      <c r="F834" s="44">
        <f t="shared" ca="1" si="26"/>
        <v>500</v>
      </c>
    </row>
    <row r="835" spans="1:6" x14ac:dyDescent="0.3">
      <c r="A835" s="30"/>
      <c r="B835" s="30"/>
      <c r="C835" s="30"/>
      <c r="D835" s="30"/>
      <c r="E835" s="45" t="s">
        <v>52</v>
      </c>
      <c r="F835" s="46">
        <f ca="1">SUM(Table42[MONTO TOTAL ESTIMADO])</f>
        <v>58200</v>
      </c>
    </row>
    <row r="836" spans="1:6" ht="15" thickBot="1" x14ac:dyDescent="0.35">
      <c r="A836" s="30"/>
      <c r="B836" s="30"/>
      <c r="C836" s="30"/>
      <c r="D836" s="30"/>
      <c r="E836" s="30"/>
      <c r="F836" s="30"/>
    </row>
    <row r="837" spans="1:6" ht="21" thickBot="1" x14ac:dyDescent="0.35">
      <c r="A837" s="31" t="s">
        <v>19</v>
      </c>
      <c r="B837" s="31" t="s">
        <v>20</v>
      </c>
      <c r="C837" s="31" t="s">
        <v>21</v>
      </c>
      <c r="D837" s="31" t="s">
        <v>22</v>
      </c>
      <c r="E837" s="31" t="s">
        <v>23</v>
      </c>
      <c r="F837" s="31" t="s">
        <v>24</v>
      </c>
    </row>
    <row r="838" spans="1:6" ht="21" thickBot="1" x14ac:dyDescent="0.35">
      <c r="A838" s="12" t="s">
        <v>280</v>
      </c>
      <c r="B838" s="12" t="s">
        <v>280</v>
      </c>
      <c r="C838" s="12" t="s">
        <v>27</v>
      </c>
      <c r="D838" s="12" t="s">
        <v>80</v>
      </c>
      <c r="E838" s="12" t="s">
        <v>59</v>
      </c>
      <c r="F838" s="12"/>
    </row>
    <row r="839" spans="1:6" ht="15" thickBot="1" x14ac:dyDescent="0.35">
      <c r="A839" s="32" t="s">
        <v>30</v>
      </c>
      <c r="B839" s="33" t="s">
        <v>31</v>
      </c>
      <c r="C839" s="34">
        <v>45768</v>
      </c>
      <c r="D839" s="32" t="s">
        <v>32</v>
      </c>
      <c r="E839" s="35" t="s">
        <v>33</v>
      </c>
      <c r="F839" s="36" t="s">
        <v>34</v>
      </c>
    </row>
    <row r="840" spans="1:6" ht="15" thickBot="1" x14ac:dyDescent="0.35">
      <c r="A840" s="37"/>
      <c r="B840" s="33" t="s">
        <v>35</v>
      </c>
      <c r="C840" s="38">
        <f>IF(C839="","",IF(AND(MONTH(C839)&gt;=1,MONTH(C839)&lt;=3),1,IF(AND(MONTH(C839)&gt;=4,MONTH(C839)&lt;=6),2,IF(AND(MONTH(C839)&gt;=7,MONTH(C839)&lt;=9),3,4))))</f>
        <v>2</v>
      </c>
      <c r="D840" s="37"/>
      <c r="E840" s="35" t="s">
        <v>36</v>
      </c>
      <c r="F840" s="36" t="s">
        <v>37</v>
      </c>
    </row>
    <row r="841" spans="1:6" ht="15" thickBot="1" x14ac:dyDescent="0.35">
      <c r="A841" s="37"/>
      <c r="B841" s="33" t="s">
        <v>38</v>
      </c>
      <c r="C841" s="34">
        <v>45772</v>
      </c>
      <c r="D841" s="37"/>
      <c r="E841" s="35" t="s">
        <v>39</v>
      </c>
      <c r="F841" s="36" t="s">
        <v>37</v>
      </c>
    </row>
    <row r="842" spans="1:6" ht="15" thickBot="1" x14ac:dyDescent="0.35">
      <c r="A842" s="37"/>
      <c r="B842" s="33" t="s">
        <v>35</v>
      </c>
      <c r="C842" s="38">
        <f>IF(C841="","",IF(AND(MONTH(C841)&gt;=1,MONTH(C841)&lt;=3),1,IF(AND(MONTH(C841)&gt;=4,MONTH(C841)&lt;=6),2,IF(AND(MONTH(C841)&gt;=7,MONTH(C841)&lt;=9),3,4))))</f>
        <v>2</v>
      </c>
      <c r="D842" s="37"/>
      <c r="E842" s="35" t="s">
        <v>40</v>
      </c>
      <c r="F842" s="36"/>
    </row>
    <row r="843" spans="1:6" ht="15" thickBot="1" x14ac:dyDescent="0.35">
      <c r="A843" s="30"/>
      <c r="B843" s="30"/>
      <c r="C843" s="30"/>
      <c r="D843" s="30"/>
      <c r="E843" s="30"/>
      <c r="F843" s="30"/>
    </row>
    <row r="844" spans="1:6" ht="15" thickBot="1" x14ac:dyDescent="0.35">
      <c r="A844" s="39" t="s">
        <v>41</v>
      </c>
      <c r="B844" s="39" t="s">
        <v>42</v>
      </c>
      <c r="C844" s="39" t="s">
        <v>43</v>
      </c>
      <c r="D844" s="39" t="s">
        <v>44</v>
      </c>
      <c r="E844" s="39" t="s">
        <v>45</v>
      </c>
      <c r="F844" s="39" t="s">
        <v>46</v>
      </c>
    </row>
    <row r="845" spans="1:6" x14ac:dyDescent="0.3">
      <c r="A845" s="40" t="s">
        <v>147</v>
      </c>
      <c r="B845" s="41" t="str">
        <f ca="1">IFERROR(INDEX(UNSPSCDes,MATCH(INDIRECT(ADDRESS(ROW(),COLUMN()-1,4)),UNSPSCCode,0)),IF(INDIRECT(ADDRESS(ROW(),COLUMN()-1,4))="44102904","Aerosol de aire comprimido",""))</f>
        <v>Aerosol de aire comprimido</v>
      </c>
      <c r="C845" s="42" t="str">
        <f>IFERROR(VLOOKUP("UD",'[1]Informacion '!P:Q,2,FALSE),"")</f>
        <v>Unidad</v>
      </c>
      <c r="D845" s="40">
        <v>2</v>
      </c>
      <c r="E845" s="43">
        <v>500</v>
      </c>
      <c r="F845" s="44">
        <f t="shared" ref="F845:F861" ca="1" si="27">INDIRECT(ADDRESS(ROW(),COLUMN()-2,4))*INDIRECT(ADDRESS(ROW(),COLUMN()-1,4))</f>
        <v>1000</v>
      </c>
    </row>
    <row r="846" spans="1:6" x14ac:dyDescent="0.3">
      <c r="A846" s="40" t="s">
        <v>149</v>
      </c>
      <c r="B846" s="41" t="str">
        <f ca="1">IFERROR(INDEX(UNSPSCDes,MATCH(INDIRECT(ADDRESS(ROW(),COLUMN()-1,4)),UNSPSCCode,0)),IF(INDIRECT(ADDRESS(ROW(),COLUMN()-1,4))="44103103","Tóner para impresoras o fax",""))</f>
        <v>Tóner para impresoras o fax</v>
      </c>
      <c r="C846" s="42" t="str">
        <f>IFERROR(VLOOKUP("UD",'[1]Informacion '!P:Q,2,FALSE),"")</f>
        <v>Unidad</v>
      </c>
      <c r="D846" s="40">
        <v>2</v>
      </c>
      <c r="E846" s="43">
        <v>5000</v>
      </c>
      <c r="F846" s="44">
        <f t="shared" ca="1" si="27"/>
        <v>10000</v>
      </c>
    </row>
    <row r="847" spans="1:6" ht="20.399999999999999" x14ac:dyDescent="0.3">
      <c r="A847" s="40" t="s">
        <v>152</v>
      </c>
      <c r="B847" s="41" t="str">
        <f ca="1">IFERROR(INDEX(UNSPSCDes,MATCH(INDIRECT(ADDRESS(ROW(),COLUMN()-1,4)),UNSPSCCode,0)),IF(INDIRECT(ADDRESS(ROW(),COLUMN()-1,4))="43211708","Mouse o bola de seguimiento para computador",""))</f>
        <v>Mouse o bola de seguimiento para computador</v>
      </c>
      <c r="C847" s="42" t="str">
        <f>IFERROR(VLOOKUP("UD",'[1]Informacion '!P:Q,2,FALSE),"")</f>
        <v>Unidad</v>
      </c>
      <c r="D847" s="40">
        <v>2</v>
      </c>
      <c r="E847" s="43">
        <v>350</v>
      </c>
      <c r="F847" s="44">
        <f t="shared" ca="1" si="27"/>
        <v>700</v>
      </c>
    </row>
    <row r="848" spans="1:6" x14ac:dyDescent="0.3">
      <c r="A848" s="40" t="s">
        <v>149</v>
      </c>
      <c r="B848" s="41" t="str">
        <f ca="1">IFERROR(INDEX(UNSPSCDes,MATCH(INDIRECT(ADDRESS(ROW(),COLUMN()-1,4)),UNSPSCCode,0)),IF(INDIRECT(ADDRESS(ROW(),COLUMN()-1,4))="44103103","Tóner para impresoras o fax",""))</f>
        <v>Tóner para impresoras o fax</v>
      </c>
      <c r="C848" s="42" t="str">
        <f>IFERROR(VLOOKUP("UD",'[1]Informacion '!P:Q,2,FALSE),"")</f>
        <v>Unidad</v>
      </c>
      <c r="D848" s="40">
        <v>2</v>
      </c>
      <c r="E848" s="43">
        <v>3500</v>
      </c>
      <c r="F848" s="44">
        <f t="shared" ca="1" si="27"/>
        <v>7000</v>
      </c>
    </row>
    <row r="849" spans="1:6" x14ac:dyDescent="0.3">
      <c r="A849" s="40" t="s">
        <v>149</v>
      </c>
      <c r="B849" s="41" t="str">
        <f ca="1">IFERROR(INDEX(UNSPSCDes,MATCH(INDIRECT(ADDRESS(ROW(),COLUMN()-1,4)),UNSPSCCode,0)),IF(INDIRECT(ADDRESS(ROW(),COLUMN()-1,4))="44103103","Tóner para impresoras o fax",""))</f>
        <v>Tóner para impresoras o fax</v>
      </c>
      <c r="C849" s="42" t="str">
        <f>IFERROR(VLOOKUP("UD",'[1]Informacion '!P:Q,2,FALSE),"")</f>
        <v>Unidad</v>
      </c>
      <c r="D849" s="40">
        <v>2</v>
      </c>
      <c r="E849" s="43">
        <v>5000</v>
      </c>
      <c r="F849" s="44">
        <f t="shared" ca="1" si="27"/>
        <v>10000</v>
      </c>
    </row>
    <row r="850" spans="1:6" x14ac:dyDescent="0.3">
      <c r="A850" s="40" t="s">
        <v>149</v>
      </c>
      <c r="B850" s="41" t="str">
        <f ca="1">IFERROR(INDEX(UNSPSCDes,MATCH(INDIRECT(ADDRESS(ROW(),COLUMN()-1,4)),UNSPSCCode,0)),IF(INDIRECT(ADDRESS(ROW(),COLUMN()-1,4))="44103103","Tóner para impresoras o fax",""))</f>
        <v>Tóner para impresoras o fax</v>
      </c>
      <c r="C850" s="42" t="str">
        <f>IFERROR(VLOOKUP("UD",'[1]Informacion '!P:Q,2,FALSE),"")</f>
        <v>Unidad</v>
      </c>
      <c r="D850" s="40">
        <v>2</v>
      </c>
      <c r="E850" s="43">
        <v>10000</v>
      </c>
      <c r="F850" s="44">
        <f t="shared" ca="1" si="27"/>
        <v>20000</v>
      </c>
    </row>
    <row r="851" spans="1:6" x14ac:dyDescent="0.3">
      <c r="A851" s="40" t="s">
        <v>149</v>
      </c>
      <c r="B851" s="41" t="str">
        <f ca="1">IFERROR(INDEX(UNSPSCDes,MATCH(INDIRECT(ADDRESS(ROW(),COLUMN()-1,4)),UNSPSCCode,0)),IF(INDIRECT(ADDRESS(ROW(),COLUMN()-1,4))="44103103","Tóner para impresoras o fax",""))</f>
        <v>Tóner para impresoras o fax</v>
      </c>
      <c r="C851" s="42" t="str">
        <f>IFERROR(VLOOKUP("UD",'[1]Informacion '!P:Q,2,FALSE),"")</f>
        <v>Unidad</v>
      </c>
      <c r="D851" s="40">
        <v>2</v>
      </c>
      <c r="E851" s="43">
        <v>10000</v>
      </c>
      <c r="F851" s="44">
        <f t="shared" ca="1" si="27"/>
        <v>20000</v>
      </c>
    </row>
    <row r="852" spans="1:6" ht="20.399999999999999" x14ac:dyDescent="0.3">
      <c r="A852" s="40" t="s">
        <v>281</v>
      </c>
      <c r="B852" s="41" t="str">
        <f ca="1">IFERROR(INDEX(UNSPSCDes,MATCH(INDIRECT(ADDRESS(ROW(),COLUMN()-1,4)),UNSPSCCode,0)),IF(INDIRECT(ADDRESS(ROW(),COLUMN()-1,4))="43201503","Procesadores de unidad de procesamiento central cpu",""))</f>
        <v>Procesadores de unidad de procesamiento central cpu</v>
      </c>
      <c r="C852" s="42" t="str">
        <f>IFERROR(VLOOKUP("UD",'[1]Informacion '!P:Q,2,FALSE),"")</f>
        <v>Unidad</v>
      </c>
      <c r="D852" s="40">
        <v>2</v>
      </c>
      <c r="E852" s="43">
        <v>25000</v>
      </c>
      <c r="F852" s="44">
        <f t="shared" ca="1" si="27"/>
        <v>50000</v>
      </c>
    </row>
    <row r="853" spans="1:6" x14ac:dyDescent="0.3">
      <c r="A853" s="40" t="s">
        <v>151</v>
      </c>
      <c r="B853" s="41" t="str">
        <f ca="1">IFERROR(INDEX(UNSPSCDes,MATCH(INDIRECT(ADDRESS(ROW(),COLUMN()-1,4)),UNSPSCCode,0)),IF(INDIRECT(ADDRESS(ROW(),COLUMN()-1,4))="32101622","Memoria flash",""))</f>
        <v>Memoria flash</v>
      </c>
      <c r="C853" s="42" t="str">
        <f>IFERROR(VLOOKUP("UD",'[1]Informacion '!P:Q,2,FALSE),"")</f>
        <v>Unidad</v>
      </c>
      <c r="D853" s="40">
        <v>4</v>
      </c>
      <c r="E853" s="43">
        <v>800</v>
      </c>
      <c r="F853" s="44">
        <f t="shared" ca="1" si="27"/>
        <v>3200</v>
      </c>
    </row>
    <row r="854" spans="1:6" x14ac:dyDescent="0.3">
      <c r="A854" s="40" t="s">
        <v>153</v>
      </c>
      <c r="B854" s="41" t="str">
        <f t="shared" ref="B854:B861" ca="1" si="28">IFERROR(INDEX(UNSPSCDes,MATCH(INDIRECT(ADDRESS(ROW(),COLUMN()-1,4)),UNSPSCCode,0)),IF(INDIRECT(ADDRESS(ROW(),COLUMN()-1,4))="44103105","Cartuchos de tinta",""))</f>
        <v>Cartuchos de tinta</v>
      </c>
      <c r="C854" s="42" t="str">
        <f>IFERROR(VLOOKUP("UD",'[1]Informacion '!P:Q,2,FALSE),"")</f>
        <v>Unidad</v>
      </c>
      <c r="D854" s="40">
        <v>5</v>
      </c>
      <c r="E854" s="43">
        <v>1700</v>
      </c>
      <c r="F854" s="44">
        <f t="shared" ca="1" si="27"/>
        <v>8500</v>
      </c>
    </row>
    <row r="855" spans="1:6" x14ac:dyDescent="0.3">
      <c r="A855" s="40" t="s">
        <v>153</v>
      </c>
      <c r="B855" s="41" t="str">
        <f t="shared" ca="1" si="28"/>
        <v>Cartuchos de tinta</v>
      </c>
      <c r="C855" s="42" t="str">
        <f>IFERROR(VLOOKUP("UD",'[1]Informacion '!P:Q,2,FALSE),"")</f>
        <v>Unidad</v>
      </c>
      <c r="D855" s="40">
        <v>5</v>
      </c>
      <c r="E855" s="43">
        <v>2250</v>
      </c>
      <c r="F855" s="44">
        <f t="shared" ca="1" si="27"/>
        <v>11250</v>
      </c>
    </row>
    <row r="856" spans="1:6" x14ac:dyDescent="0.3">
      <c r="A856" s="40" t="s">
        <v>153</v>
      </c>
      <c r="B856" s="41" t="str">
        <f t="shared" ca="1" si="28"/>
        <v>Cartuchos de tinta</v>
      </c>
      <c r="C856" s="42" t="str">
        <f>IFERROR(VLOOKUP("UD",'[1]Informacion '!P:Q,2,FALSE),"")</f>
        <v>Unidad</v>
      </c>
      <c r="D856" s="40">
        <v>5</v>
      </c>
      <c r="E856" s="43">
        <v>1700</v>
      </c>
      <c r="F856" s="44">
        <f t="shared" ca="1" si="27"/>
        <v>8500</v>
      </c>
    </row>
    <row r="857" spans="1:6" x14ac:dyDescent="0.3">
      <c r="A857" s="40" t="s">
        <v>153</v>
      </c>
      <c r="B857" s="41" t="str">
        <f t="shared" ca="1" si="28"/>
        <v>Cartuchos de tinta</v>
      </c>
      <c r="C857" s="42" t="str">
        <f>IFERROR(VLOOKUP("UD",'[1]Informacion '!P:Q,2,FALSE),"")</f>
        <v>Unidad</v>
      </c>
      <c r="D857" s="40">
        <v>5</v>
      </c>
      <c r="E857" s="43">
        <v>1700</v>
      </c>
      <c r="F857" s="44">
        <f t="shared" ca="1" si="27"/>
        <v>8500</v>
      </c>
    </row>
    <row r="858" spans="1:6" x14ac:dyDescent="0.3">
      <c r="A858" s="40" t="s">
        <v>153</v>
      </c>
      <c r="B858" s="41" t="str">
        <f t="shared" ca="1" si="28"/>
        <v>Cartuchos de tinta</v>
      </c>
      <c r="C858" s="42" t="str">
        <f>IFERROR(VLOOKUP("UD",'[1]Informacion '!P:Q,2,FALSE),"")</f>
        <v>Unidad</v>
      </c>
      <c r="D858" s="40">
        <v>3</v>
      </c>
      <c r="E858" s="43">
        <v>2800</v>
      </c>
      <c r="F858" s="44">
        <f t="shared" ca="1" si="27"/>
        <v>8400</v>
      </c>
    </row>
    <row r="859" spans="1:6" x14ac:dyDescent="0.3">
      <c r="A859" s="40" t="s">
        <v>153</v>
      </c>
      <c r="B859" s="41" t="str">
        <f t="shared" ca="1" si="28"/>
        <v>Cartuchos de tinta</v>
      </c>
      <c r="C859" s="42" t="str">
        <f>IFERROR(VLOOKUP("UD",'[1]Informacion '!P:Q,2,FALSE),"")</f>
        <v>Unidad</v>
      </c>
      <c r="D859" s="40">
        <v>3</v>
      </c>
      <c r="E859" s="43">
        <v>2000</v>
      </c>
      <c r="F859" s="44">
        <f t="shared" ca="1" si="27"/>
        <v>6000</v>
      </c>
    </row>
    <row r="860" spans="1:6" x14ac:dyDescent="0.3">
      <c r="A860" s="40" t="s">
        <v>153</v>
      </c>
      <c r="B860" s="41" t="str">
        <f t="shared" ca="1" si="28"/>
        <v>Cartuchos de tinta</v>
      </c>
      <c r="C860" s="42" t="str">
        <f>IFERROR(VLOOKUP("UD",'[1]Informacion '!P:Q,2,FALSE),"")</f>
        <v>Unidad</v>
      </c>
      <c r="D860" s="40">
        <v>3</v>
      </c>
      <c r="E860" s="43">
        <v>2000</v>
      </c>
      <c r="F860" s="44">
        <f t="shared" ca="1" si="27"/>
        <v>6000</v>
      </c>
    </row>
    <row r="861" spans="1:6" x14ac:dyDescent="0.3">
      <c r="A861" s="40" t="s">
        <v>153</v>
      </c>
      <c r="B861" s="41" t="str">
        <f t="shared" ca="1" si="28"/>
        <v>Cartuchos de tinta</v>
      </c>
      <c r="C861" s="42" t="str">
        <f>IFERROR(VLOOKUP("UD",'[1]Informacion '!P:Q,2,FALSE),"")</f>
        <v>Unidad</v>
      </c>
      <c r="D861" s="40">
        <v>3</v>
      </c>
      <c r="E861" s="43">
        <v>2000</v>
      </c>
      <c r="F861" s="44">
        <f t="shared" ca="1" si="27"/>
        <v>6000</v>
      </c>
    </row>
    <row r="862" spans="1:6" x14ac:dyDescent="0.3">
      <c r="A862" s="30"/>
      <c r="B862" s="30"/>
      <c r="C862" s="30"/>
      <c r="D862" s="30"/>
      <c r="E862" s="45" t="s">
        <v>52</v>
      </c>
      <c r="F862" s="46">
        <f ca="1">SUM(Table43[MONTO TOTAL ESTIMADO])</f>
        <v>185050</v>
      </c>
    </row>
    <row r="863" spans="1:6" ht="15" thickBot="1" x14ac:dyDescent="0.35">
      <c r="A863" s="30"/>
      <c r="B863" s="30"/>
      <c r="C863" s="30"/>
      <c r="D863" s="30"/>
      <c r="E863" s="30"/>
      <c r="F863" s="30"/>
    </row>
    <row r="864" spans="1:6" ht="21" thickBot="1" x14ac:dyDescent="0.35">
      <c r="A864" s="31" t="s">
        <v>19</v>
      </c>
      <c r="B864" s="31" t="s">
        <v>20</v>
      </c>
      <c r="C864" s="31" t="s">
        <v>21</v>
      </c>
      <c r="D864" s="31" t="s">
        <v>22</v>
      </c>
      <c r="E864" s="31" t="s">
        <v>23</v>
      </c>
      <c r="F864" s="31" t="s">
        <v>24</v>
      </c>
    </row>
    <row r="865" spans="1:6" ht="21" thickBot="1" x14ac:dyDescent="0.35">
      <c r="A865" s="12" t="s">
        <v>282</v>
      </c>
      <c r="B865" s="12" t="s">
        <v>282</v>
      </c>
      <c r="C865" s="12" t="s">
        <v>27</v>
      </c>
      <c r="D865" s="12" t="s">
        <v>80</v>
      </c>
      <c r="E865" s="12" t="s">
        <v>59</v>
      </c>
      <c r="F865" s="12"/>
    </row>
    <row r="866" spans="1:6" ht="15" thickBot="1" x14ac:dyDescent="0.35">
      <c r="A866" s="32" t="s">
        <v>30</v>
      </c>
      <c r="B866" s="33" t="s">
        <v>31</v>
      </c>
      <c r="C866" s="34">
        <v>45768</v>
      </c>
      <c r="D866" s="32" t="s">
        <v>32</v>
      </c>
      <c r="E866" s="35" t="s">
        <v>33</v>
      </c>
      <c r="F866" s="36" t="s">
        <v>34</v>
      </c>
    </row>
    <row r="867" spans="1:6" ht="15" thickBot="1" x14ac:dyDescent="0.35">
      <c r="A867" s="37"/>
      <c r="B867" s="33" t="s">
        <v>35</v>
      </c>
      <c r="C867" s="38">
        <f>IF(C866="","",IF(AND(MONTH(C866)&gt;=1,MONTH(C866)&lt;=3),1,IF(AND(MONTH(C866)&gt;=4,MONTH(C866)&lt;=6),2,IF(AND(MONTH(C866)&gt;=7,MONTH(C866)&lt;=9),3,4))))</f>
        <v>2</v>
      </c>
      <c r="D867" s="37"/>
      <c r="E867" s="35" t="s">
        <v>36</v>
      </c>
      <c r="F867" s="36" t="s">
        <v>37</v>
      </c>
    </row>
    <row r="868" spans="1:6" ht="15" thickBot="1" x14ac:dyDescent="0.35">
      <c r="A868" s="37"/>
      <c r="B868" s="33" t="s">
        <v>38</v>
      </c>
      <c r="C868" s="34">
        <v>45776</v>
      </c>
      <c r="D868" s="37"/>
      <c r="E868" s="35" t="s">
        <v>39</v>
      </c>
      <c r="F868" s="36" t="s">
        <v>37</v>
      </c>
    </row>
    <row r="869" spans="1:6" ht="15" thickBot="1" x14ac:dyDescent="0.35">
      <c r="A869" s="37"/>
      <c r="B869" s="33" t="s">
        <v>35</v>
      </c>
      <c r="C869" s="38">
        <f>IF(C868="","",IF(AND(MONTH(C868)&gt;=1,MONTH(C868)&lt;=3),1,IF(AND(MONTH(C868)&gt;=4,MONTH(C868)&lt;=6),2,IF(AND(MONTH(C868)&gt;=7,MONTH(C868)&lt;=9),3,4))))</f>
        <v>2</v>
      </c>
      <c r="D869" s="37"/>
      <c r="E869" s="35" t="s">
        <v>40</v>
      </c>
      <c r="F869" s="36"/>
    </row>
    <row r="870" spans="1:6" ht="15" thickBot="1" x14ac:dyDescent="0.35">
      <c r="A870" s="30"/>
      <c r="B870" s="30"/>
      <c r="C870" s="30"/>
      <c r="D870" s="30"/>
      <c r="E870" s="30"/>
      <c r="F870" s="30"/>
    </row>
    <row r="871" spans="1:6" ht="15" thickBot="1" x14ac:dyDescent="0.35">
      <c r="A871" s="39" t="s">
        <v>41</v>
      </c>
      <c r="B871" s="39" t="s">
        <v>42</v>
      </c>
      <c r="C871" s="39" t="s">
        <v>43</v>
      </c>
      <c r="D871" s="39" t="s">
        <v>44</v>
      </c>
      <c r="E871" s="39" t="s">
        <v>45</v>
      </c>
      <c r="F871" s="39" t="s">
        <v>46</v>
      </c>
    </row>
    <row r="872" spans="1:6" x14ac:dyDescent="0.3">
      <c r="A872" s="40" t="s">
        <v>202</v>
      </c>
      <c r="B872" s="41" t="str">
        <f ca="1">IFERROR(INDEX(UNSPSCDes,MATCH(INDIRECT(ADDRESS(ROW(),COLUMN()-1,4)),UNSPSCCode,0)),IF(INDIRECT(ADDRESS(ROW(),COLUMN()-1,4))="26111703","Baterías para vehículos",""))</f>
        <v>Baterías para vehículos</v>
      </c>
      <c r="C872" s="42" t="str">
        <f>IFERROR(VLOOKUP("UD",'[1]Informacion '!P:Q,2,FALSE),"")</f>
        <v>Unidad</v>
      </c>
      <c r="D872" s="40">
        <v>2</v>
      </c>
      <c r="E872" s="43">
        <v>7500</v>
      </c>
      <c r="F872" s="44">
        <f t="shared" ref="F872:F883" ca="1" si="29">INDIRECT(ADDRESS(ROW(),COLUMN()-2,4))*INDIRECT(ADDRESS(ROW(),COLUMN()-1,4))</f>
        <v>15000</v>
      </c>
    </row>
    <row r="873" spans="1:6" x14ac:dyDescent="0.3">
      <c r="A873" s="40" t="s">
        <v>203</v>
      </c>
      <c r="B873" s="41" t="str">
        <f ca="1">IFERROR(INDEX(UNSPSCDes,MATCH(INDIRECT(ADDRESS(ROW(),COLUMN()-1,4)),UNSPSCCode,0)),IF(INDIRECT(ADDRESS(ROW(),COLUMN()-1,4))="15121501","Aceite motor",""))</f>
        <v>Aceite motor</v>
      </c>
      <c r="C873" s="42" t="str">
        <f>IFERROR(VLOOKUP("UD",'[1]Informacion '!P:Q,2,FALSE),"")</f>
        <v>Unidad</v>
      </c>
      <c r="D873" s="40">
        <v>1</v>
      </c>
      <c r="E873" s="43">
        <v>20000</v>
      </c>
      <c r="F873" s="44">
        <f t="shared" ca="1" si="29"/>
        <v>20000</v>
      </c>
    </row>
    <row r="874" spans="1:6" x14ac:dyDescent="0.3">
      <c r="A874" s="40" t="s">
        <v>204</v>
      </c>
      <c r="B874" s="41" t="str">
        <f ca="1">IFERROR(INDEX(UNSPSCDes,MATCH(INDIRECT(ADDRESS(ROW(),COLUMN()-1,4)),UNSPSCCode,0)),IF(INDIRECT(ADDRESS(ROW(),COLUMN()-1,4))="15121504","Aceite hidráulico",""))</f>
        <v>Aceite hidráulico</v>
      </c>
      <c r="C874" s="42" t="str">
        <f>IFERROR(VLOOKUP("UD",'[1]Informacion '!P:Q,2,FALSE),"")</f>
        <v>Unidad</v>
      </c>
      <c r="D874" s="40">
        <v>24</v>
      </c>
      <c r="E874" s="43">
        <v>350</v>
      </c>
      <c r="F874" s="44">
        <f t="shared" ca="1" si="29"/>
        <v>8400</v>
      </c>
    </row>
    <row r="875" spans="1:6" x14ac:dyDescent="0.3">
      <c r="A875" s="40" t="s">
        <v>205</v>
      </c>
      <c r="B875" s="41" t="str">
        <f ca="1">IFERROR(INDEX(UNSPSCDes,MATCH(INDIRECT(ADDRESS(ROW(),COLUMN()-1,4)),UNSPSCCode,0)),IF(INDIRECT(ADDRESS(ROW(),COLUMN()-1,4))="15121509","Aceite de frenos",""))</f>
        <v>Aceite de frenos</v>
      </c>
      <c r="C875" s="42" t="str">
        <f>IFERROR(VLOOKUP("UD",'[1]Informacion '!P:Q,2,FALSE),"")</f>
        <v>Unidad</v>
      </c>
      <c r="D875" s="40">
        <v>12</v>
      </c>
      <c r="E875" s="43">
        <v>250</v>
      </c>
      <c r="F875" s="44">
        <f t="shared" ca="1" si="29"/>
        <v>3000</v>
      </c>
    </row>
    <row r="876" spans="1:6" x14ac:dyDescent="0.3">
      <c r="A876" s="40" t="s">
        <v>206</v>
      </c>
      <c r="B876" s="41" t="str">
        <f ca="1">IFERROR(INDEX(UNSPSCDes,MATCH(INDIRECT(ADDRESS(ROW(),COLUMN()-1,4)),UNSPSCCode,0)),IF(INDIRECT(ADDRESS(ROW(),COLUMN()-1,4))="25174004","Refrigerante de motor",""))</f>
        <v>Refrigerante de motor</v>
      </c>
      <c r="C876" s="42" t="str">
        <f>IFERROR(VLOOKUP("GAL",'[1]Informacion '!P:Q,2,FALSE),"")</f>
        <v>Galón</v>
      </c>
      <c r="D876" s="40">
        <v>12</v>
      </c>
      <c r="E876" s="43">
        <v>700</v>
      </c>
      <c r="F876" s="44">
        <f t="shared" ca="1" si="29"/>
        <v>8400</v>
      </c>
    </row>
    <row r="877" spans="1:6" x14ac:dyDescent="0.3">
      <c r="A877" s="40" t="s">
        <v>207</v>
      </c>
      <c r="B877" s="41" t="str">
        <f ca="1">IFERROR(INDEX(UNSPSCDes,MATCH(INDIRECT(ADDRESS(ROW(),COLUMN()-1,4)),UNSPSCCode,0)),IF(INDIRECT(ADDRESS(ROW(),COLUMN()-1,4))="40161504","Filtros de aceite",""))</f>
        <v>Filtros de aceite</v>
      </c>
      <c r="C877" s="42" t="str">
        <f>IFERROR(VLOOKUP("UD",'[1]Informacion '!P:Q,2,FALSE),"")</f>
        <v>Unidad</v>
      </c>
      <c r="D877" s="40">
        <v>3</v>
      </c>
      <c r="E877" s="43">
        <v>800</v>
      </c>
      <c r="F877" s="44">
        <f t="shared" ca="1" si="29"/>
        <v>2400</v>
      </c>
    </row>
    <row r="878" spans="1:6" x14ac:dyDescent="0.3">
      <c r="A878" s="40" t="s">
        <v>209</v>
      </c>
      <c r="B878" s="41" t="str">
        <f ca="1">IFERROR(INDEX(UNSPSCDes,MATCH(INDIRECT(ADDRESS(ROW(),COLUMN()-1,4)),UNSPSCCode,0)),IF(INDIRECT(ADDRESS(ROW(),COLUMN()-1,4))="40161513","Filtros de combustible",""))</f>
        <v>Filtros de combustible</v>
      </c>
      <c r="C878" s="42" t="str">
        <f>IFERROR(VLOOKUP("UD",'[1]Informacion '!P:Q,2,FALSE),"")</f>
        <v>Unidad</v>
      </c>
      <c r="D878" s="40">
        <v>3</v>
      </c>
      <c r="E878" s="43">
        <v>650</v>
      </c>
      <c r="F878" s="44">
        <f t="shared" ca="1" si="29"/>
        <v>1950</v>
      </c>
    </row>
    <row r="879" spans="1:6" x14ac:dyDescent="0.3">
      <c r="A879" s="40" t="s">
        <v>208</v>
      </c>
      <c r="B879" s="41" t="str">
        <f ca="1">IFERROR(INDEX(UNSPSCDes,MATCH(INDIRECT(ADDRESS(ROW(),COLUMN()-1,4)),UNSPSCCode,0)),IF(INDIRECT(ADDRESS(ROW(),COLUMN()-1,4))="40161505","Filtros de aire",""))</f>
        <v>Filtros de aire</v>
      </c>
      <c r="C879" s="42" t="str">
        <f>IFERROR(VLOOKUP("UD",'[1]Informacion '!P:Q,2,FALSE),"")</f>
        <v>Unidad</v>
      </c>
      <c r="D879" s="40">
        <v>3</v>
      </c>
      <c r="E879" s="43">
        <v>800</v>
      </c>
      <c r="F879" s="44">
        <f t="shared" ca="1" si="29"/>
        <v>2400</v>
      </c>
    </row>
    <row r="880" spans="1:6" ht="20.399999999999999" x14ac:dyDescent="0.3">
      <c r="A880" s="40" t="s">
        <v>210</v>
      </c>
      <c r="B880" s="41" t="str">
        <f ca="1">IFERROR(INDEX(UNSPSCDes,MATCH(INDIRECT(ADDRESS(ROW(),COLUMN()-1,4)),UNSPSCCode,0)),IF(INDIRECT(ADDRESS(ROW(),COLUMN()-1,4))="25172504","Neumáticos para automoviles o camiones ligeros",""))</f>
        <v>Neumáticos para automoviles o camiones ligeros</v>
      </c>
      <c r="C880" s="42" t="str">
        <f>IFERROR(VLOOKUP("UD",'[1]Informacion '!P:Q,2,FALSE),"")</f>
        <v>Unidad</v>
      </c>
      <c r="D880" s="40">
        <v>4</v>
      </c>
      <c r="E880" s="43">
        <v>9000</v>
      </c>
      <c r="F880" s="44">
        <f t="shared" ca="1" si="29"/>
        <v>36000</v>
      </c>
    </row>
    <row r="881" spans="1:6" ht="20.399999999999999" x14ac:dyDescent="0.3">
      <c r="A881" s="40" t="s">
        <v>210</v>
      </c>
      <c r="B881" s="41" t="str">
        <f ca="1">IFERROR(INDEX(UNSPSCDes,MATCH(INDIRECT(ADDRESS(ROW(),COLUMN()-1,4)),UNSPSCCode,0)),IF(INDIRECT(ADDRESS(ROW(),COLUMN()-1,4))="25172504","Neumáticos para automoviles o camiones ligeros",""))</f>
        <v>Neumáticos para automoviles o camiones ligeros</v>
      </c>
      <c r="C881" s="42" t="str">
        <f>IFERROR(VLOOKUP("UD",'[1]Informacion '!P:Q,2,FALSE),"")</f>
        <v>Unidad</v>
      </c>
      <c r="D881" s="40">
        <v>4</v>
      </c>
      <c r="E881" s="43">
        <v>8500</v>
      </c>
      <c r="F881" s="44">
        <f t="shared" ca="1" si="29"/>
        <v>34000</v>
      </c>
    </row>
    <row r="882" spans="1:6" ht="20.399999999999999" x14ac:dyDescent="0.3">
      <c r="A882" s="40" t="s">
        <v>210</v>
      </c>
      <c r="B882" s="41" t="str">
        <f ca="1">IFERROR(INDEX(UNSPSCDes,MATCH(INDIRECT(ADDRESS(ROW(),COLUMN()-1,4)),UNSPSCCode,0)),IF(INDIRECT(ADDRESS(ROW(),COLUMN()-1,4))="25172504","Neumáticos para automoviles o camiones ligeros",""))</f>
        <v>Neumáticos para automoviles o camiones ligeros</v>
      </c>
      <c r="C882" s="42" t="str">
        <f>IFERROR(VLOOKUP("UD",'[1]Informacion '!P:Q,2,FALSE),"")</f>
        <v>Unidad</v>
      </c>
      <c r="D882" s="40">
        <v>4</v>
      </c>
      <c r="E882" s="43">
        <v>7000</v>
      </c>
      <c r="F882" s="44">
        <f t="shared" ca="1" si="29"/>
        <v>28000</v>
      </c>
    </row>
    <row r="883" spans="1:6" ht="20.399999999999999" x14ac:dyDescent="0.3">
      <c r="A883" s="40" t="s">
        <v>210</v>
      </c>
      <c r="B883" s="41" t="str">
        <f ca="1">IFERROR(INDEX(UNSPSCDes,MATCH(INDIRECT(ADDRESS(ROW(),COLUMN()-1,4)),UNSPSCCode,0)),IF(INDIRECT(ADDRESS(ROW(),COLUMN()-1,4))="25172504","Neumáticos para automoviles o camiones ligeros",""))</f>
        <v>Neumáticos para automoviles o camiones ligeros</v>
      </c>
      <c r="C883" s="42" t="str">
        <f>IFERROR(VLOOKUP("UD",'[1]Informacion '!P:Q,2,FALSE),"")</f>
        <v>Unidad</v>
      </c>
      <c r="D883" s="40">
        <v>4</v>
      </c>
      <c r="E883" s="43">
        <v>7500</v>
      </c>
      <c r="F883" s="44">
        <f t="shared" ca="1" si="29"/>
        <v>30000</v>
      </c>
    </row>
    <row r="884" spans="1:6" x14ac:dyDescent="0.3">
      <c r="A884" s="30"/>
      <c r="B884" s="30"/>
      <c r="C884" s="30"/>
      <c r="D884" s="30"/>
      <c r="E884" s="45" t="s">
        <v>52</v>
      </c>
      <c r="F884" s="46">
        <f ca="1">SUM(Table44[MONTO TOTAL ESTIMADO])</f>
        <v>189550</v>
      </c>
    </row>
    <row r="885" spans="1:6" ht="15" thickBot="1" x14ac:dyDescent="0.35">
      <c r="A885" s="30"/>
      <c r="B885" s="30"/>
      <c r="C885" s="30"/>
      <c r="D885" s="30"/>
      <c r="E885" s="30"/>
      <c r="F885" s="30"/>
    </row>
    <row r="886" spans="1:6" ht="21" thickBot="1" x14ac:dyDescent="0.35">
      <c r="A886" s="31" t="s">
        <v>19</v>
      </c>
      <c r="B886" s="31" t="s">
        <v>20</v>
      </c>
      <c r="C886" s="31" t="s">
        <v>21</v>
      </c>
      <c r="D886" s="31" t="s">
        <v>22</v>
      </c>
      <c r="E886" s="31" t="s">
        <v>23</v>
      </c>
      <c r="F886" s="31" t="s">
        <v>24</v>
      </c>
    </row>
    <row r="887" spans="1:6" ht="21" thickBot="1" x14ac:dyDescent="0.35">
      <c r="A887" s="12" t="s">
        <v>283</v>
      </c>
      <c r="B887" s="12" t="s">
        <v>284</v>
      </c>
      <c r="C887" s="12" t="s">
        <v>27</v>
      </c>
      <c r="D887" s="12" t="s">
        <v>28</v>
      </c>
      <c r="E887" s="12" t="s">
        <v>59</v>
      </c>
      <c r="F887" s="12"/>
    </row>
    <row r="888" spans="1:6" ht="15" thickBot="1" x14ac:dyDescent="0.35">
      <c r="A888" s="32" t="s">
        <v>30</v>
      </c>
      <c r="B888" s="33" t="s">
        <v>31</v>
      </c>
      <c r="C888" s="34">
        <v>45768</v>
      </c>
      <c r="D888" s="32" t="s">
        <v>32</v>
      </c>
      <c r="E888" s="35" t="s">
        <v>33</v>
      </c>
      <c r="F888" s="36" t="s">
        <v>34</v>
      </c>
    </row>
    <row r="889" spans="1:6" ht="15" thickBot="1" x14ac:dyDescent="0.35">
      <c r="A889" s="37"/>
      <c r="B889" s="33" t="s">
        <v>35</v>
      </c>
      <c r="C889" s="38">
        <f>IF(C888="","",IF(AND(MONTH(C888)&gt;=1,MONTH(C888)&lt;=3),1,IF(AND(MONTH(C888)&gt;=4,MONTH(C888)&lt;=6),2,IF(AND(MONTH(C888)&gt;=7,MONTH(C888)&lt;=9),3,4))))</f>
        <v>2</v>
      </c>
      <c r="D889" s="37"/>
      <c r="E889" s="35" t="s">
        <v>36</v>
      </c>
      <c r="F889" s="36" t="s">
        <v>37</v>
      </c>
    </row>
    <row r="890" spans="1:6" ht="15" thickBot="1" x14ac:dyDescent="0.35">
      <c r="A890" s="37"/>
      <c r="B890" s="33" t="s">
        <v>38</v>
      </c>
      <c r="C890" s="34">
        <v>45772</v>
      </c>
      <c r="D890" s="37"/>
      <c r="E890" s="35" t="s">
        <v>39</v>
      </c>
      <c r="F890" s="36" t="s">
        <v>37</v>
      </c>
    </row>
    <row r="891" spans="1:6" ht="15" thickBot="1" x14ac:dyDescent="0.35">
      <c r="A891" s="37"/>
      <c r="B891" s="33" t="s">
        <v>35</v>
      </c>
      <c r="C891" s="38">
        <f>IF(C890="","",IF(AND(MONTH(C890)&gt;=1,MONTH(C890)&lt;=3),1,IF(AND(MONTH(C890)&gt;=4,MONTH(C890)&lt;=6),2,IF(AND(MONTH(C890)&gt;=7,MONTH(C890)&lt;=9),3,4))))</f>
        <v>2</v>
      </c>
      <c r="D891" s="37"/>
      <c r="E891" s="35" t="s">
        <v>40</v>
      </c>
      <c r="F891" s="36"/>
    </row>
    <row r="892" spans="1:6" ht="15" thickBot="1" x14ac:dyDescent="0.35">
      <c r="A892" s="30"/>
      <c r="B892" s="30"/>
      <c r="C892" s="30"/>
      <c r="D892" s="30"/>
      <c r="E892" s="30"/>
      <c r="F892" s="30"/>
    </row>
    <row r="893" spans="1:6" ht="15" thickBot="1" x14ac:dyDescent="0.35">
      <c r="A893" s="39" t="s">
        <v>41</v>
      </c>
      <c r="B893" s="39" t="s">
        <v>42</v>
      </c>
      <c r="C893" s="39" t="s">
        <v>43</v>
      </c>
      <c r="D893" s="39" t="s">
        <v>44</v>
      </c>
      <c r="E893" s="39" t="s">
        <v>45</v>
      </c>
      <c r="F893" s="39" t="s">
        <v>46</v>
      </c>
    </row>
    <row r="894" spans="1:6" x14ac:dyDescent="0.3">
      <c r="A894" s="40" t="s">
        <v>213</v>
      </c>
      <c r="B894" s="41" t="str">
        <f ca="1">IFERROR(INDEX(UNSPSCDes,MATCH(INDIRECT(ADDRESS(ROW(),COLUMN()-1,4)),UNSPSCCode,0)),IF(INDIRECT(ADDRESS(ROW(),COLUMN()-1,4))="11111701","Arena de sílice",""))</f>
        <v>Arena de sílice</v>
      </c>
      <c r="C894" s="42" t="str">
        <f>IFERROR(VLOOKUP("M3",'[1]Informacion '!P:Q,2,FALSE),"")</f>
        <v>Metro cúbico</v>
      </c>
      <c r="D894" s="40">
        <v>24</v>
      </c>
      <c r="E894" s="43">
        <v>2600</v>
      </c>
      <c r="F894" s="44">
        <f ca="1">INDIRECT(ADDRESS(ROW(),COLUMN()-2,4))*INDIRECT(ADDRESS(ROW(),COLUMN()-1,4))</f>
        <v>62400</v>
      </c>
    </row>
    <row r="895" spans="1:6" x14ac:dyDescent="0.3">
      <c r="A895" s="40" t="s">
        <v>214</v>
      </c>
      <c r="B895" s="41" t="str">
        <f ca="1">IFERROR(INDEX(UNSPSCDes,MATCH(INDIRECT(ADDRESS(ROW(),COLUMN()-1,4)),UNSPSCCode,0)),IF(INDIRECT(ADDRESS(ROW(),COLUMN()-1,4))="30111601","Cemento",""))</f>
        <v>Cemento</v>
      </c>
      <c r="C895" s="42" t="str">
        <f>IFERROR(VLOOKUP("UD",'[1]Informacion '!P:Q,2,FALSE),"")</f>
        <v>Unidad</v>
      </c>
      <c r="D895" s="40">
        <v>200</v>
      </c>
      <c r="E895" s="43">
        <v>550</v>
      </c>
      <c r="F895" s="44">
        <f ca="1">INDIRECT(ADDRESS(ROW(),COLUMN()-2,4))*INDIRECT(ADDRESS(ROW(),COLUMN()-1,4))</f>
        <v>110000</v>
      </c>
    </row>
    <row r="896" spans="1:6" x14ac:dyDescent="0.3">
      <c r="A896" s="40" t="s">
        <v>215</v>
      </c>
      <c r="B896" s="41" t="str">
        <f ca="1">IFERROR(INDEX(UNSPSCDes,MATCH(INDIRECT(ADDRESS(ROW(),COLUMN()-1,4)),UNSPSCCode,0)),IF(INDIRECT(ADDRESS(ROW(),COLUMN()-1,4))="30131502","Bloques de concreto",""))</f>
        <v>Bloques de concreto</v>
      </c>
      <c r="C896" s="42" t="str">
        <f>IFERROR(VLOOKUP("UD",'[1]Informacion '!P:Q,2,FALSE),"")</f>
        <v>Unidad</v>
      </c>
      <c r="D896" s="40">
        <v>1000</v>
      </c>
      <c r="E896" s="43">
        <v>50</v>
      </c>
      <c r="F896" s="44">
        <f ca="1">INDIRECT(ADDRESS(ROW(),COLUMN()-2,4))*INDIRECT(ADDRESS(ROW(),COLUMN()-1,4))</f>
        <v>50000</v>
      </c>
    </row>
    <row r="897" spans="1:6" x14ac:dyDescent="0.3">
      <c r="A897" s="40" t="s">
        <v>216</v>
      </c>
      <c r="B897" s="41" t="str">
        <f ca="1">IFERROR(INDEX(UNSPSCDes,MATCH(INDIRECT(ADDRESS(ROW(),COLUMN()-1,4)),UNSPSCCode,0)),IF(INDIRECT(ADDRESS(ROW(),COLUMN()-1,4))="11111611","Gravilla",""))</f>
        <v>Gravilla</v>
      </c>
      <c r="C897" s="42" t="str">
        <f>IFERROR(VLOOKUP("M3",'[1]Informacion '!P:Q,2,FALSE),"")</f>
        <v>Metro cúbico</v>
      </c>
      <c r="D897" s="40">
        <v>24</v>
      </c>
      <c r="E897" s="43">
        <v>1600</v>
      </c>
      <c r="F897" s="44">
        <f ca="1">INDIRECT(ADDRESS(ROW(),COLUMN()-2,4))*INDIRECT(ADDRESS(ROW(),COLUMN()-1,4))</f>
        <v>38400</v>
      </c>
    </row>
    <row r="898" spans="1:6" x14ac:dyDescent="0.3">
      <c r="A898" s="40" t="s">
        <v>217</v>
      </c>
      <c r="B898" s="41" t="str">
        <f ca="1">IFERROR(INDEX(UNSPSCDes,MATCH(INDIRECT(ADDRESS(ROW(),COLUMN()-1,4)),UNSPSCCode,0)),IF(INDIRECT(ADDRESS(ROW(),COLUMN()-1,4))="30102403","Varillas de hierro",""))</f>
        <v>Varillas de hierro</v>
      </c>
      <c r="C898" s="42" t="str">
        <f>IFERROR(VLOOKUP("Q",'[1]Informacion '!P:Q,2,FALSE),"")</f>
        <v>Quintal</v>
      </c>
      <c r="D898" s="40">
        <v>20</v>
      </c>
      <c r="E898" s="43">
        <v>4000</v>
      </c>
      <c r="F898" s="44">
        <f ca="1">INDIRECT(ADDRESS(ROW(),COLUMN()-2,4))*INDIRECT(ADDRESS(ROW(),COLUMN()-1,4))</f>
        <v>80000</v>
      </c>
    </row>
    <row r="899" spans="1:6" x14ac:dyDescent="0.3">
      <c r="A899" s="30"/>
      <c r="B899" s="30"/>
      <c r="C899" s="30"/>
      <c r="D899" s="30"/>
      <c r="E899" s="45" t="s">
        <v>52</v>
      </c>
      <c r="F899" s="46">
        <f ca="1">SUM(Table45[MONTO TOTAL ESTIMADO])</f>
        <v>340800</v>
      </c>
    </row>
    <row r="900" spans="1:6" ht="15" thickBot="1" x14ac:dyDescent="0.35">
      <c r="A900" s="30"/>
      <c r="B900" s="30"/>
      <c r="C900" s="30"/>
      <c r="D900" s="30"/>
      <c r="E900" s="30"/>
      <c r="F900" s="30"/>
    </row>
    <row r="901" spans="1:6" ht="21" thickBot="1" x14ac:dyDescent="0.35">
      <c r="A901" s="31" t="s">
        <v>19</v>
      </c>
      <c r="B901" s="31" t="s">
        <v>20</v>
      </c>
      <c r="C901" s="31" t="s">
        <v>21</v>
      </c>
      <c r="D901" s="31" t="s">
        <v>22</v>
      </c>
      <c r="E901" s="31" t="s">
        <v>23</v>
      </c>
      <c r="F901" s="31" t="s">
        <v>24</v>
      </c>
    </row>
    <row r="902" spans="1:6" ht="21" thickBot="1" x14ac:dyDescent="0.35">
      <c r="A902" s="12" t="s">
        <v>285</v>
      </c>
      <c r="B902" s="12" t="s">
        <v>285</v>
      </c>
      <c r="C902" s="12" t="s">
        <v>27</v>
      </c>
      <c r="D902" s="12" t="s">
        <v>28</v>
      </c>
      <c r="E902" s="12" t="s">
        <v>59</v>
      </c>
      <c r="F902" s="12"/>
    </row>
    <row r="903" spans="1:6" ht="15" thickBot="1" x14ac:dyDescent="0.35">
      <c r="A903" s="32" t="s">
        <v>30</v>
      </c>
      <c r="B903" s="33" t="s">
        <v>31</v>
      </c>
      <c r="C903" s="34">
        <v>45768</v>
      </c>
      <c r="D903" s="32" t="s">
        <v>32</v>
      </c>
      <c r="E903" s="35" t="s">
        <v>33</v>
      </c>
      <c r="F903" s="36" t="s">
        <v>34</v>
      </c>
    </row>
    <row r="904" spans="1:6" ht="15" thickBot="1" x14ac:dyDescent="0.35">
      <c r="A904" s="37"/>
      <c r="B904" s="33" t="s">
        <v>35</v>
      </c>
      <c r="C904" s="38">
        <f>IF(C903="","",IF(AND(MONTH(C903)&gt;=1,MONTH(C903)&lt;=3),1,IF(AND(MONTH(C903)&gt;=4,MONTH(C903)&lt;=6),2,IF(AND(MONTH(C903)&gt;=7,MONTH(C903)&lt;=9),3,4))))</f>
        <v>2</v>
      </c>
      <c r="D904" s="37"/>
      <c r="E904" s="35" t="s">
        <v>36</v>
      </c>
      <c r="F904" s="36" t="s">
        <v>37</v>
      </c>
    </row>
    <row r="905" spans="1:6" ht="15" thickBot="1" x14ac:dyDescent="0.35">
      <c r="A905" s="37"/>
      <c r="B905" s="33" t="s">
        <v>38</v>
      </c>
      <c r="C905" s="34">
        <v>45775</v>
      </c>
      <c r="D905" s="37"/>
      <c r="E905" s="35" t="s">
        <v>39</v>
      </c>
      <c r="F905" s="36" t="s">
        <v>37</v>
      </c>
    </row>
    <row r="906" spans="1:6" ht="15" thickBot="1" x14ac:dyDescent="0.35">
      <c r="A906" s="37"/>
      <c r="B906" s="33" t="s">
        <v>35</v>
      </c>
      <c r="C906" s="38">
        <f>IF(C905="","",IF(AND(MONTH(C905)&gt;=1,MONTH(C905)&lt;=3),1,IF(AND(MONTH(C905)&gt;=4,MONTH(C905)&lt;=6),2,IF(AND(MONTH(C905)&gt;=7,MONTH(C905)&lt;=9),3,4))))</f>
        <v>2</v>
      </c>
      <c r="D906" s="37"/>
      <c r="E906" s="35" t="s">
        <v>40</v>
      </c>
      <c r="F906" s="36"/>
    </row>
    <row r="907" spans="1:6" ht="15" thickBot="1" x14ac:dyDescent="0.35">
      <c r="A907" s="30"/>
      <c r="B907" s="30"/>
      <c r="C907" s="30"/>
      <c r="D907" s="30"/>
      <c r="E907" s="30"/>
      <c r="F907" s="30"/>
    </row>
    <row r="908" spans="1:6" ht="15" thickBot="1" x14ac:dyDescent="0.35">
      <c r="A908" s="39" t="s">
        <v>41</v>
      </c>
      <c r="B908" s="39" t="s">
        <v>42</v>
      </c>
      <c r="C908" s="39" t="s">
        <v>43</v>
      </c>
      <c r="D908" s="39" t="s">
        <v>44</v>
      </c>
      <c r="E908" s="39" t="s">
        <v>45</v>
      </c>
      <c r="F908" s="39" t="s">
        <v>46</v>
      </c>
    </row>
    <row r="909" spans="1:6" x14ac:dyDescent="0.3">
      <c r="A909" s="40" t="s">
        <v>219</v>
      </c>
      <c r="B909" s="41" t="str">
        <f ca="1">IFERROR(INDEX(UNSPSCDes,MATCH(INDIRECT(ADDRESS(ROW(),COLUMN()-1,4)),UNSPSCCode,0)),IF(INDIRECT(ADDRESS(ROW(),COLUMN()-1,4))="30102303","Perfiles de hierro",""))</f>
        <v>Perfiles de hierro</v>
      </c>
      <c r="C909" s="42" t="str">
        <f>IFERROR(VLOOKUP("UD",'[1]Informacion '!P:Q,2,FALSE),"")</f>
        <v>Unidad</v>
      </c>
      <c r="D909" s="40">
        <v>20</v>
      </c>
      <c r="E909" s="43">
        <v>1100</v>
      </c>
      <c r="F909" s="44">
        <f t="shared" ref="F909:F918" ca="1" si="30">INDIRECT(ADDRESS(ROW(),COLUMN()-2,4))*INDIRECT(ADDRESS(ROW(),COLUMN()-1,4))</f>
        <v>22000</v>
      </c>
    </row>
    <row r="910" spans="1:6" x14ac:dyDescent="0.3">
      <c r="A910" s="40" t="s">
        <v>219</v>
      </c>
      <c r="B910" s="41" t="str">
        <f ca="1">IFERROR(INDEX(UNSPSCDes,MATCH(INDIRECT(ADDRESS(ROW(),COLUMN()-1,4)),UNSPSCCode,0)),IF(INDIRECT(ADDRESS(ROW(),COLUMN()-1,4))="30102303","Perfiles de hierro",""))</f>
        <v>Perfiles de hierro</v>
      </c>
      <c r="C910" s="42" t="str">
        <f>IFERROR(VLOOKUP("UD",'[1]Informacion '!P:Q,2,FALSE),"")</f>
        <v>Unidad</v>
      </c>
      <c r="D910" s="40">
        <v>10</v>
      </c>
      <c r="E910" s="43">
        <v>900</v>
      </c>
      <c r="F910" s="44">
        <f t="shared" ca="1" si="30"/>
        <v>9000</v>
      </c>
    </row>
    <row r="911" spans="1:6" x14ac:dyDescent="0.3">
      <c r="A911" s="40" t="s">
        <v>219</v>
      </c>
      <c r="B911" s="41" t="str">
        <f ca="1">IFERROR(INDEX(UNSPSCDes,MATCH(INDIRECT(ADDRESS(ROW(),COLUMN()-1,4)),UNSPSCCode,0)),IF(INDIRECT(ADDRESS(ROW(),COLUMN()-1,4))="30102303","Perfiles de hierro",""))</f>
        <v>Perfiles de hierro</v>
      </c>
      <c r="C911" s="42" t="str">
        <f>IFERROR(VLOOKUP("UD",'[1]Informacion '!P:Q,2,FALSE),"")</f>
        <v>Unidad</v>
      </c>
      <c r="D911" s="40">
        <v>5</v>
      </c>
      <c r="E911" s="43">
        <v>300</v>
      </c>
      <c r="F911" s="44">
        <f t="shared" ca="1" si="30"/>
        <v>1500</v>
      </c>
    </row>
    <row r="912" spans="1:6" x14ac:dyDescent="0.3">
      <c r="A912" s="40" t="s">
        <v>219</v>
      </c>
      <c r="B912" s="41" t="str">
        <f ca="1">IFERROR(INDEX(UNSPSCDes,MATCH(INDIRECT(ADDRESS(ROW(),COLUMN()-1,4)),UNSPSCCode,0)),IF(INDIRECT(ADDRESS(ROW(),COLUMN()-1,4))="30102303","Perfiles de hierro",""))</f>
        <v>Perfiles de hierro</v>
      </c>
      <c r="C912" s="42" t="str">
        <f>IFERROR(VLOOKUP("UD",'[1]Informacion '!P:Q,2,FALSE),"")</f>
        <v>Unidad</v>
      </c>
      <c r="D912" s="40">
        <v>5</v>
      </c>
      <c r="E912" s="43">
        <v>2000</v>
      </c>
      <c r="F912" s="44">
        <f t="shared" ca="1" si="30"/>
        <v>10000</v>
      </c>
    </row>
    <row r="913" spans="1:6" x14ac:dyDescent="0.3">
      <c r="A913" s="40" t="s">
        <v>220</v>
      </c>
      <c r="B913" s="41" t="str">
        <f ca="1">IFERROR(INDEX(UNSPSCDes,MATCH(INDIRECT(ADDRESS(ROW(),COLUMN()-1,4)),UNSPSCCode,0)),IF(INDIRECT(ADDRESS(ROW(),COLUMN()-1,4))="30102001","Lámina de aleación ferrosa",""))</f>
        <v>Lámina de aleación ferrosa</v>
      </c>
      <c r="C913" s="42" t="str">
        <f>IFERROR(VLOOKUP("UD",'[1]Informacion '!P:Q,2,FALSE),"")</f>
        <v>Unidad</v>
      </c>
      <c r="D913" s="40">
        <v>12</v>
      </c>
      <c r="E913" s="43">
        <v>2800</v>
      </c>
      <c r="F913" s="44">
        <f t="shared" ca="1" si="30"/>
        <v>33600</v>
      </c>
    </row>
    <row r="914" spans="1:6" x14ac:dyDescent="0.3">
      <c r="A914" s="40" t="s">
        <v>220</v>
      </c>
      <c r="B914" s="41" t="str">
        <f ca="1">IFERROR(INDEX(UNSPSCDes,MATCH(INDIRECT(ADDRESS(ROW(),COLUMN()-1,4)),UNSPSCCode,0)),IF(INDIRECT(ADDRESS(ROW(),COLUMN()-1,4))="30102001","Lámina de aleación ferrosa",""))</f>
        <v>Lámina de aleación ferrosa</v>
      </c>
      <c r="C914" s="42" t="str">
        <f>IFERROR(VLOOKUP("UD",'[1]Informacion '!P:Q,2,FALSE),"")</f>
        <v>Unidad</v>
      </c>
      <c r="D914" s="40">
        <v>12</v>
      </c>
      <c r="E914" s="43">
        <v>3500</v>
      </c>
      <c r="F914" s="44">
        <f t="shared" ca="1" si="30"/>
        <v>42000</v>
      </c>
    </row>
    <row r="915" spans="1:6" x14ac:dyDescent="0.3">
      <c r="A915" s="40" t="s">
        <v>222</v>
      </c>
      <c r="B915" s="41" t="str">
        <f ca="1">IFERROR(INDEX(UNSPSCDes,MATCH(INDIRECT(ADDRESS(ROW(),COLUMN()-1,4)),UNSPSCCode,0)),IF(INDIRECT(ADDRESS(ROW(),COLUMN()-1,4))="23171515","Electrodos para soldar",""))</f>
        <v>Electrodos para soldar</v>
      </c>
      <c r="C915" s="42" t="str">
        <f>IFERROR(VLOOKUP("LB",'[1]Informacion '!P:Q,2,FALSE),"")</f>
        <v>Libra </v>
      </c>
      <c r="D915" s="40">
        <v>50</v>
      </c>
      <c r="E915" s="43">
        <v>150</v>
      </c>
      <c r="F915" s="44">
        <f t="shared" ca="1" si="30"/>
        <v>7500</v>
      </c>
    </row>
    <row r="916" spans="1:6" x14ac:dyDescent="0.3">
      <c r="A916" s="40" t="s">
        <v>222</v>
      </c>
      <c r="B916" s="41" t="str">
        <f ca="1">IFERROR(INDEX(UNSPSCDes,MATCH(INDIRECT(ADDRESS(ROW(),COLUMN()-1,4)),UNSPSCCode,0)),IF(INDIRECT(ADDRESS(ROW(),COLUMN()-1,4))="23171515","Electrodos para soldar",""))</f>
        <v>Electrodos para soldar</v>
      </c>
      <c r="C916" s="42" t="str">
        <f>IFERROR(VLOOKUP("LB",'[1]Informacion '!P:Q,2,FALSE),"")</f>
        <v>Libra </v>
      </c>
      <c r="D916" s="40">
        <v>20</v>
      </c>
      <c r="E916" s="43">
        <v>150</v>
      </c>
      <c r="F916" s="44">
        <f t="shared" ca="1" si="30"/>
        <v>3000</v>
      </c>
    </row>
    <row r="917" spans="1:6" x14ac:dyDescent="0.3">
      <c r="A917" s="40" t="s">
        <v>223</v>
      </c>
      <c r="B917" s="41" t="str">
        <f ca="1">IFERROR(INDEX(UNSPSCDes,MATCH(INDIRECT(ADDRESS(ROW(),COLUMN()-1,4)),UNSPSCCode,0)),IF(INDIRECT(ADDRESS(ROW(),COLUMN()-1,4))="31191506","Discos abrasivos",""))</f>
        <v>Discos abrasivos</v>
      </c>
      <c r="C917" s="42" t="str">
        <f>IFERROR(VLOOKUP("UD",'[1]Informacion '!P:Q,2,FALSE),"")</f>
        <v>Unidad</v>
      </c>
      <c r="D917" s="40">
        <v>24</v>
      </c>
      <c r="E917" s="43">
        <v>300</v>
      </c>
      <c r="F917" s="44">
        <f t="shared" ca="1" si="30"/>
        <v>7200</v>
      </c>
    </row>
    <row r="918" spans="1:6" x14ac:dyDescent="0.3">
      <c r="A918" s="40" t="s">
        <v>223</v>
      </c>
      <c r="B918" s="41" t="str">
        <f ca="1">IFERROR(INDEX(UNSPSCDes,MATCH(INDIRECT(ADDRESS(ROW(),COLUMN()-1,4)),UNSPSCCode,0)),IF(INDIRECT(ADDRESS(ROW(),COLUMN()-1,4))="31191506","Discos abrasivos",""))</f>
        <v>Discos abrasivos</v>
      </c>
      <c r="C918" s="42" t="str">
        <f>IFERROR(VLOOKUP("UD",'[1]Informacion '!P:Q,2,FALSE),"")</f>
        <v>Unidad</v>
      </c>
      <c r="D918" s="40">
        <v>24</v>
      </c>
      <c r="E918" s="43">
        <v>280</v>
      </c>
      <c r="F918" s="44">
        <f t="shared" ca="1" si="30"/>
        <v>6720</v>
      </c>
    </row>
    <row r="919" spans="1:6" x14ac:dyDescent="0.3">
      <c r="A919" s="30"/>
      <c r="B919" s="30"/>
      <c r="C919" s="30"/>
      <c r="D919" s="30"/>
      <c r="E919" s="45" t="s">
        <v>52</v>
      </c>
      <c r="F919" s="46">
        <f ca="1">SUM(Table46[MONTO TOTAL ESTIMADO])</f>
        <v>142520</v>
      </c>
    </row>
    <row r="920" spans="1:6" ht="15" thickBot="1" x14ac:dyDescent="0.35">
      <c r="A920" s="30"/>
      <c r="B920" s="30"/>
      <c r="C920" s="30"/>
      <c r="D920" s="30"/>
      <c r="E920" s="30"/>
      <c r="F920" s="30"/>
    </row>
    <row r="921" spans="1:6" ht="21" thickBot="1" x14ac:dyDescent="0.35">
      <c r="A921" s="31" t="s">
        <v>19</v>
      </c>
      <c r="B921" s="31" t="s">
        <v>20</v>
      </c>
      <c r="C921" s="31" t="s">
        <v>21</v>
      </c>
      <c r="D921" s="31" t="s">
        <v>22</v>
      </c>
      <c r="E921" s="31" t="s">
        <v>23</v>
      </c>
      <c r="F921" s="31" t="s">
        <v>24</v>
      </c>
    </row>
    <row r="922" spans="1:6" ht="31.2" thickBot="1" x14ac:dyDescent="0.35">
      <c r="A922" s="12" t="s">
        <v>286</v>
      </c>
      <c r="B922" s="12" t="s">
        <v>286</v>
      </c>
      <c r="C922" s="12" t="s">
        <v>27</v>
      </c>
      <c r="D922" s="12" t="s">
        <v>28</v>
      </c>
      <c r="E922" s="12" t="s">
        <v>59</v>
      </c>
      <c r="F922" s="12"/>
    </row>
    <row r="923" spans="1:6" ht="15" thickBot="1" x14ac:dyDescent="0.35">
      <c r="A923" s="32" t="s">
        <v>30</v>
      </c>
      <c r="B923" s="33" t="s">
        <v>31</v>
      </c>
      <c r="C923" s="34">
        <v>45775</v>
      </c>
      <c r="D923" s="32" t="s">
        <v>32</v>
      </c>
      <c r="E923" s="35" t="s">
        <v>33</v>
      </c>
      <c r="F923" s="36" t="s">
        <v>34</v>
      </c>
    </row>
    <row r="924" spans="1:6" ht="15" thickBot="1" x14ac:dyDescent="0.35">
      <c r="A924" s="37"/>
      <c r="B924" s="33" t="s">
        <v>35</v>
      </c>
      <c r="C924" s="38">
        <f>IF(C923="","",IF(AND(MONTH(C923)&gt;=1,MONTH(C923)&lt;=3),1,IF(AND(MONTH(C923)&gt;=4,MONTH(C923)&lt;=6),2,IF(AND(MONTH(C923)&gt;=7,MONTH(C923)&lt;=9),3,4))))</f>
        <v>2</v>
      </c>
      <c r="D924" s="37"/>
      <c r="E924" s="35" t="s">
        <v>36</v>
      </c>
      <c r="F924" s="36" t="s">
        <v>37</v>
      </c>
    </row>
    <row r="925" spans="1:6" ht="15" thickBot="1" x14ac:dyDescent="0.35">
      <c r="A925" s="37"/>
      <c r="B925" s="33" t="s">
        <v>38</v>
      </c>
      <c r="C925" s="34">
        <v>45779</v>
      </c>
      <c r="D925" s="37"/>
      <c r="E925" s="35" t="s">
        <v>39</v>
      </c>
      <c r="F925" s="36" t="s">
        <v>37</v>
      </c>
    </row>
    <row r="926" spans="1:6" ht="15" thickBot="1" x14ac:dyDescent="0.35">
      <c r="A926" s="37"/>
      <c r="B926" s="33" t="s">
        <v>35</v>
      </c>
      <c r="C926" s="38">
        <f>IF(C925="","",IF(AND(MONTH(C925)&gt;=1,MONTH(C925)&lt;=3),1,IF(AND(MONTH(C925)&gt;=4,MONTH(C925)&lt;=6),2,IF(AND(MONTH(C925)&gt;=7,MONTH(C925)&lt;=9),3,4))))</f>
        <v>2</v>
      </c>
      <c r="D926" s="37"/>
      <c r="E926" s="35" t="s">
        <v>40</v>
      </c>
      <c r="F926" s="36"/>
    </row>
    <row r="927" spans="1:6" ht="15" thickBot="1" x14ac:dyDescent="0.35">
      <c r="A927" s="30"/>
      <c r="B927" s="30"/>
      <c r="C927" s="30"/>
      <c r="D927" s="30"/>
      <c r="E927" s="30"/>
      <c r="F927" s="30"/>
    </row>
    <row r="928" spans="1:6" ht="15" thickBot="1" x14ac:dyDescent="0.35">
      <c r="A928" s="39" t="s">
        <v>41</v>
      </c>
      <c r="B928" s="39" t="s">
        <v>42</v>
      </c>
      <c r="C928" s="39" t="s">
        <v>43</v>
      </c>
      <c r="D928" s="39" t="s">
        <v>44</v>
      </c>
      <c r="E928" s="39" t="s">
        <v>45</v>
      </c>
      <c r="F928" s="39" t="s">
        <v>46</v>
      </c>
    </row>
    <row r="929" spans="1:6" x14ac:dyDescent="0.3">
      <c r="A929" s="40" t="s">
        <v>246</v>
      </c>
      <c r="B929" s="41" t="str">
        <f ca="1">IFERROR(INDEX(UNSPSCDes,MATCH(INDIRECT(ADDRESS(ROW(),COLUMN()-1,4)),UNSPSCCode,0)),IF(INDIRECT(ADDRESS(ROW(),COLUMN()-1,4))="46171501","Candados",""))</f>
        <v>Candados</v>
      </c>
      <c r="C929" s="42" t="str">
        <f>IFERROR(VLOOKUP("UD",'[1]Informacion '!P:Q,2,FALSE),"")</f>
        <v>Unidad</v>
      </c>
      <c r="D929" s="40">
        <v>10</v>
      </c>
      <c r="E929" s="43">
        <v>500</v>
      </c>
      <c r="F929" s="44">
        <f t="shared" ref="F929:F978" ca="1" si="31">INDIRECT(ADDRESS(ROW(),COLUMN()-2,4))*INDIRECT(ADDRESS(ROW(),COLUMN()-1,4))</f>
        <v>5000</v>
      </c>
    </row>
    <row r="930" spans="1:6" x14ac:dyDescent="0.3">
      <c r="A930" s="40" t="s">
        <v>246</v>
      </c>
      <c r="B930" s="41" t="str">
        <f ca="1">IFERROR(INDEX(UNSPSCDes,MATCH(INDIRECT(ADDRESS(ROW(),COLUMN()-1,4)),UNSPSCCode,0)),IF(INDIRECT(ADDRESS(ROW(),COLUMN()-1,4))="46171501","Candados",""))</f>
        <v>Candados</v>
      </c>
      <c r="C930" s="42" t="str">
        <f>IFERROR(VLOOKUP("UD",'[1]Informacion '!P:Q,2,FALSE),"")</f>
        <v>Unidad</v>
      </c>
      <c r="D930" s="40">
        <v>10</v>
      </c>
      <c r="E930" s="43">
        <v>800</v>
      </c>
      <c r="F930" s="44">
        <f t="shared" ca="1" si="31"/>
        <v>8000</v>
      </c>
    </row>
    <row r="931" spans="1:6" x14ac:dyDescent="0.3">
      <c r="A931" s="40" t="s">
        <v>246</v>
      </c>
      <c r="B931" s="41" t="str">
        <f ca="1">IFERROR(INDEX(UNSPSCDes,MATCH(INDIRECT(ADDRESS(ROW(),COLUMN()-1,4)),UNSPSCCode,0)),IF(INDIRECT(ADDRESS(ROW(),COLUMN()-1,4))="46171501","Candados",""))</f>
        <v>Candados</v>
      </c>
      <c r="C931" s="42" t="str">
        <f>IFERROR(VLOOKUP("UD",'[1]Informacion '!P:Q,2,FALSE),"")</f>
        <v>Unidad</v>
      </c>
      <c r="D931" s="40">
        <v>10</v>
      </c>
      <c r="E931" s="43">
        <v>1100</v>
      </c>
      <c r="F931" s="44">
        <f t="shared" ca="1" si="31"/>
        <v>11000</v>
      </c>
    </row>
    <row r="932" spans="1:6" x14ac:dyDescent="0.3">
      <c r="A932" s="40" t="s">
        <v>82</v>
      </c>
      <c r="B932" s="41" t="str">
        <f ca="1">IFERROR(INDEX(UNSPSCDes,MATCH(INDIRECT(ADDRESS(ROW(),COLUMN()-1,4)),UNSPSCCode,0)),IF(INDIRECT(ADDRESS(ROW(),COLUMN()-1,4))="31201610","Pegamentos",""))</f>
        <v>Pegamentos</v>
      </c>
      <c r="C932" s="42" t="str">
        <f>IFERROR(VLOOKUP("UD",'[1]Informacion '!P:Q,2,FALSE),"")</f>
        <v>Unidad</v>
      </c>
      <c r="D932" s="40">
        <v>6</v>
      </c>
      <c r="E932" s="43">
        <v>950</v>
      </c>
      <c r="F932" s="44">
        <f t="shared" ca="1" si="31"/>
        <v>5700</v>
      </c>
    </row>
    <row r="933" spans="1:6" x14ac:dyDescent="0.3">
      <c r="A933" s="40" t="s">
        <v>247</v>
      </c>
      <c r="B933" s="41" t="str">
        <f ca="1">IFERROR(INDEX(UNSPSCDes,MATCH(INDIRECT(ADDRESS(ROW(),COLUMN()-1,4)),UNSPSCCode,0)),IF(INDIRECT(ADDRESS(ROW(),COLUMN()-1,4))="11101502","Lija o esmeril",""))</f>
        <v>Lija o esmeril</v>
      </c>
      <c r="C933" s="42" t="str">
        <f>IFERROR(VLOOKUP("UD",'[1]Informacion '!P:Q,2,FALSE),"")</f>
        <v>Unidad</v>
      </c>
      <c r="D933" s="40">
        <v>25</v>
      </c>
      <c r="E933" s="43">
        <v>75</v>
      </c>
      <c r="F933" s="44">
        <f t="shared" ca="1" si="31"/>
        <v>1875</v>
      </c>
    </row>
    <row r="934" spans="1:6" x14ac:dyDescent="0.3">
      <c r="A934" s="40" t="s">
        <v>247</v>
      </c>
      <c r="B934" s="41" t="str">
        <f ca="1">IFERROR(INDEX(UNSPSCDes,MATCH(INDIRECT(ADDRESS(ROW(),COLUMN()-1,4)),UNSPSCCode,0)),IF(INDIRECT(ADDRESS(ROW(),COLUMN()-1,4))="11101502","Lija o esmeril",""))</f>
        <v>Lija o esmeril</v>
      </c>
      <c r="C934" s="42" t="str">
        <f>IFERROR(VLOOKUP("UD",'[1]Informacion '!P:Q,2,FALSE),"")</f>
        <v>Unidad</v>
      </c>
      <c r="D934" s="40">
        <v>25</v>
      </c>
      <c r="E934" s="43">
        <v>50</v>
      </c>
      <c r="F934" s="44">
        <f t="shared" ca="1" si="31"/>
        <v>1250</v>
      </c>
    </row>
    <row r="935" spans="1:6" x14ac:dyDescent="0.3">
      <c r="A935" s="40" t="s">
        <v>248</v>
      </c>
      <c r="B935" s="41" t="str">
        <f ca="1">IFERROR(INDEX(UNSPSCDes,MATCH(INDIRECT(ADDRESS(ROW(),COLUMN()-1,4)),UNSPSCCode,0)),IF(INDIRECT(ADDRESS(ROW(),COLUMN()-1,4))="12181601","Aceites sintéticos",""))</f>
        <v>Aceites sintéticos</v>
      </c>
      <c r="C935" s="42" t="str">
        <f>IFERROR(VLOOKUP("UD",'[1]Informacion '!P:Q,2,FALSE),"")</f>
        <v>Unidad</v>
      </c>
      <c r="D935" s="40">
        <v>2</v>
      </c>
      <c r="E935" s="43">
        <v>2800</v>
      </c>
      <c r="F935" s="44">
        <f t="shared" ca="1" si="31"/>
        <v>5600</v>
      </c>
    </row>
    <row r="936" spans="1:6" x14ac:dyDescent="0.3">
      <c r="A936" s="40" t="s">
        <v>249</v>
      </c>
      <c r="B936" s="41" t="str">
        <f ca="1">IFERROR(INDEX(UNSPSCDes,MATCH(INDIRECT(ADDRESS(ROW(),COLUMN()-1,4)),UNSPSCCode,0)),IF(INDIRECT(ADDRESS(ROW(),COLUMN()-1,4))="31211803","Diluyentes para pinturas y barnices",""))</f>
        <v>Diluyentes para pinturas y barnices</v>
      </c>
      <c r="C936" s="42" t="str">
        <f>IFERROR(VLOOKUP("UD",'[1]Informacion '!P:Q,2,FALSE),"")</f>
        <v>Unidad</v>
      </c>
      <c r="D936" s="40">
        <v>2</v>
      </c>
      <c r="E936" s="43">
        <v>500</v>
      </c>
      <c r="F936" s="44">
        <f t="shared" ca="1" si="31"/>
        <v>1000</v>
      </c>
    </row>
    <row r="937" spans="1:6" x14ac:dyDescent="0.3">
      <c r="A937" s="40" t="s">
        <v>249</v>
      </c>
      <c r="B937" s="41" t="str">
        <f ca="1">IFERROR(INDEX(UNSPSCDes,MATCH(INDIRECT(ADDRESS(ROW(),COLUMN()-1,4)),UNSPSCCode,0)),IF(INDIRECT(ADDRESS(ROW(),COLUMN()-1,4))="31211803","Diluyentes para pinturas y barnices",""))</f>
        <v>Diluyentes para pinturas y barnices</v>
      </c>
      <c r="C937" s="42" t="str">
        <f>IFERROR(VLOOKUP("UD",'[1]Informacion '!P:Q,2,FALSE),"")</f>
        <v>Unidad</v>
      </c>
      <c r="D937" s="40">
        <v>12</v>
      </c>
      <c r="E937" s="43">
        <v>350</v>
      </c>
      <c r="F937" s="44">
        <f t="shared" ca="1" si="31"/>
        <v>4200</v>
      </c>
    </row>
    <row r="938" spans="1:6" x14ac:dyDescent="0.3">
      <c r="A938" s="40" t="s">
        <v>250</v>
      </c>
      <c r="B938" s="41" t="str">
        <f t="shared" ref="B938:B943" ca="1" si="32">IFERROR(INDEX(UNSPSCDes,MATCH(INDIRECT(ADDRESS(ROW(),COLUMN()-1,4)),UNSPSCCode,0)),IF(INDIRECT(ADDRESS(ROW(),COLUMN()-1,4))="31211508","Pinturas acrílicas",""))</f>
        <v>Pinturas acrílicas</v>
      </c>
      <c r="C938" s="42" t="str">
        <f>IFERROR(VLOOKUP("GAL",'[1]Informacion '!P:Q,2,FALSE),"")</f>
        <v>Galón</v>
      </c>
      <c r="D938" s="40">
        <v>15</v>
      </c>
      <c r="E938" s="43">
        <v>1250</v>
      </c>
      <c r="F938" s="44">
        <f t="shared" ca="1" si="31"/>
        <v>18750</v>
      </c>
    </row>
    <row r="939" spans="1:6" x14ac:dyDescent="0.3">
      <c r="A939" s="40" t="s">
        <v>250</v>
      </c>
      <c r="B939" s="41" t="str">
        <f t="shared" ca="1" si="32"/>
        <v>Pinturas acrílicas</v>
      </c>
      <c r="C939" s="42" t="str">
        <f>IFERROR(VLOOKUP("GAL",'[1]Informacion '!P:Q,2,FALSE),"")</f>
        <v>Galón</v>
      </c>
      <c r="D939" s="40">
        <v>10</v>
      </c>
      <c r="E939" s="43">
        <v>1250</v>
      </c>
      <c r="F939" s="44">
        <f t="shared" ca="1" si="31"/>
        <v>12500</v>
      </c>
    </row>
    <row r="940" spans="1:6" x14ac:dyDescent="0.3">
      <c r="A940" s="40" t="s">
        <v>250</v>
      </c>
      <c r="B940" s="41" t="str">
        <f t="shared" ca="1" si="32"/>
        <v>Pinturas acrílicas</v>
      </c>
      <c r="C940" s="42" t="str">
        <f>IFERROR(VLOOKUP("GAL",'[1]Informacion '!P:Q,2,FALSE),"")</f>
        <v>Galón</v>
      </c>
      <c r="D940" s="40">
        <v>10</v>
      </c>
      <c r="E940" s="43">
        <v>1250</v>
      </c>
      <c r="F940" s="44">
        <f t="shared" ca="1" si="31"/>
        <v>12500</v>
      </c>
    </row>
    <row r="941" spans="1:6" x14ac:dyDescent="0.3">
      <c r="A941" s="40" t="s">
        <v>250</v>
      </c>
      <c r="B941" s="41" t="str">
        <f t="shared" ca="1" si="32"/>
        <v>Pinturas acrílicas</v>
      </c>
      <c r="C941" s="42" t="str">
        <f>IFERROR(VLOOKUP("GAL",'[1]Informacion '!P:Q,2,FALSE),"")</f>
        <v>Galón</v>
      </c>
      <c r="D941" s="40">
        <v>15</v>
      </c>
      <c r="E941" s="43">
        <v>1250</v>
      </c>
      <c r="F941" s="44">
        <f t="shared" ca="1" si="31"/>
        <v>18750</v>
      </c>
    </row>
    <row r="942" spans="1:6" x14ac:dyDescent="0.3">
      <c r="A942" s="40" t="s">
        <v>250</v>
      </c>
      <c r="B942" s="41" t="str">
        <f t="shared" ca="1" si="32"/>
        <v>Pinturas acrílicas</v>
      </c>
      <c r="C942" s="42" t="str">
        <f>IFERROR(VLOOKUP("GAL",'[1]Informacion '!P:Q,2,FALSE),"")</f>
        <v>Galón</v>
      </c>
      <c r="D942" s="40">
        <v>10</v>
      </c>
      <c r="E942" s="43">
        <v>1250</v>
      </c>
      <c r="F942" s="44">
        <f t="shared" ca="1" si="31"/>
        <v>12500</v>
      </c>
    </row>
    <row r="943" spans="1:6" x14ac:dyDescent="0.3">
      <c r="A943" s="40" t="s">
        <v>250</v>
      </c>
      <c r="B943" s="41" t="str">
        <f t="shared" ca="1" si="32"/>
        <v>Pinturas acrílicas</v>
      </c>
      <c r="C943" s="42" t="str">
        <f>IFERROR(VLOOKUP("UD",'[1]Informacion '!P:Q,2,FALSE),"")</f>
        <v>Unidad</v>
      </c>
      <c r="D943" s="40">
        <v>6</v>
      </c>
      <c r="E943" s="43">
        <v>6750</v>
      </c>
      <c r="F943" s="44">
        <f t="shared" ca="1" si="31"/>
        <v>40500</v>
      </c>
    </row>
    <row r="944" spans="1:6" x14ac:dyDescent="0.3">
      <c r="A944" s="40" t="s">
        <v>252</v>
      </c>
      <c r="B944" s="41" t="str">
        <f ca="1">IFERROR(INDEX(UNSPSCDes,MATCH(INDIRECT(ADDRESS(ROW(),COLUMN()-1,4)),UNSPSCCode,0)),IF(INDIRECT(ADDRESS(ROW(),COLUMN()-1,4))="31211501","Pinturas de esmalte",""))</f>
        <v>Pinturas de esmalte</v>
      </c>
      <c r="C944" s="42" t="str">
        <f>IFERROR(VLOOKUP("UD",'[1]Informacion '!P:Q,2,FALSE),"")</f>
        <v>Unidad</v>
      </c>
      <c r="D944" s="40">
        <v>10</v>
      </c>
      <c r="E944" s="43">
        <v>1850</v>
      </c>
      <c r="F944" s="44">
        <f t="shared" ca="1" si="31"/>
        <v>18500</v>
      </c>
    </row>
    <row r="945" spans="1:6" x14ac:dyDescent="0.3">
      <c r="A945" s="40" t="s">
        <v>252</v>
      </c>
      <c r="B945" s="41" t="str">
        <f ca="1">IFERROR(INDEX(UNSPSCDes,MATCH(INDIRECT(ADDRESS(ROW(),COLUMN()-1,4)),UNSPSCCode,0)),IF(INDIRECT(ADDRESS(ROW(),COLUMN()-1,4))="31211501","Pinturas de esmalte",""))</f>
        <v>Pinturas de esmalte</v>
      </c>
      <c r="C945" s="42" t="str">
        <f>IFERROR(VLOOKUP("UD",'[1]Informacion '!P:Q,2,FALSE),"")</f>
        <v>Unidad</v>
      </c>
      <c r="D945" s="40">
        <v>10</v>
      </c>
      <c r="E945" s="43">
        <v>1500</v>
      </c>
      <c r="F945" s="44">
        <f t="shared" ca="1" si="31"/>
        <v>15000</v>
      </c>
    </row>
    <row r="946" spans="1:6" x14ac:dyDescent="0.3">
      <c r="A946" s="40" t="s">
        <v>252</v>
      </c>
      <c r="B946" s="41" t="str">
        <f ca="1">IFERROR(INDEX(UNSPSCDes,MATCH(INDIRECT(ADDRESS(ROW(),COLUMN()-1,4)),UNSPSCCode,0)),IF(INDIRECT(ADDRESS(ROW(),COLUMN()-1,4))="31211501","Pinturas de esmalte",""))</f>
        <v>Pinturas de esmalte</v>
      </c>
      <c r="C946" s="42" t="str">
        <f>IFERROR(VLOOKUP("UD",'[1]Informacion '!P:Q,2,FALSE),"")</f>
        <v>Unidad</v>
      </c>
      <c r="D946" s="40">
        <v>10</v>
      </c>
      <c r="E946" s="43">
        <v>1500</v>
      </c>
      <c r="F946" s="44">
        <f t="shared" ca="1" si="31"/>
        <v>15000</v>
      </c>
    </row>
    <row r="947" spans="1:6" x14ac:dyDescent="0.3">
      <c r="A947" s="40" t="s">
        <v>252</v>
      </c>
      <c r="B947" s="41" t="str">
        <f ca="1">IFERROR(INDEX(UNSPSCDes,MATCH(INDIRECT(ADDRESS(ROW(),COLUMN()-1,4)),UNSPSCCode,0)),IF(INDIRECT(ADDRESS(ROW(),COLUMN()-1,4))="31211501","Pinturas de esmalte",""))</f>
        <v>Pinturas de esmalte</v>
      </c>
      <c r="C947" s="42" t="str">
        <f>IFERROR(VLOOKUP("UD",'[1]Informacion '!P:Q,2,FALSE),"")</f>
        <v>Unidad</v>
      </c>
      <c r="D947" s="40">
        <v>10</v>
      </c>
      <c r="E947" s="43">
        <v>1500</v>
      </c>
      <c r="F947" s="44">
        <f t="shared" ca="1" si="31"/>
        <v>15000</v>
      </c>
    </row>
    <row r="948" spans="1:6" x14ac:dyDescent="0.3">
      <c r="A948" s="40" t="s">
        <v>255</v>
      </c>
      <c r="B948" s="41" t="str">
        <f ca="1">IFERROR(INDEX(UNSPSCDes,MATCH(INDIRECT(ADDRESS(ROW(),COLUMN()-1,4)),UNSPSCCode,0)),IF(INDIRECT(ADDRESS(ROW(),COLUMN()-1,4))="11162116","Tela de fique o estopa",""))</f>
        <v>Tela de fique o estopa</v>
      </c>
      <c r="C948" s="42" t="str">
        <f>IFERROR(VLOOKUP("PAQ",'[1]Informacion '!P:Q,2,FALSE),"")</f>
        <v>Paquete</v>
      </c>
      <c r="D948" s="40">
        <v>15</v>
      </c>
      <c r="E948" s="43">
        <v>75</v>
      </c>
      <c r="F948" s="44">
        <f t="shared" ca="1" si="31"/>
        <v>1125</v>
      </c>
    </row>
    <row r="949" spans="1:6" x14ac:dyDescent="0.3">
      <c r="A949" s="40" t="s">
        <v>258</v>
      </c>
      <c r="B949" s="41" t="str">
        <f ca="1">IFERROR(INDEX(UNSPSCDes,MATCH(INDIRECT(ADDRESS(ROW(),COLUMN()-1,4)),UNSPSCCode,0)),IF(INDIRECT(ADDRESS(ROW(),COLUMN()-1,4))="31211904","Brochas",""))</f>
        <v>Brochas</v>
      </c>
      <c r="C949" s="42" t="str">
        <f>IFERROR(VLOOKUP("UD",'[1]Informacion '!P:Q,2,FALSE),"")</f>
        <v>Unidad</v>
      </c>
      <c r="D949" s="40">
        <v>20</v>
      </c>
      <c r="E949" s="43">
        <v>35</v>
      </c>
      <c r="F949" s="44">
        <f t="shared" ca="1" si="31"/>
        <v>700</v>
      </c>
    </row>
    <row r="950" spans="1:6" x14ac:dyDescent="0.3">
      <c r="A950" s="40" t="s">
        <v>258</v>
      </c>
      <c r="B950" s="41" t="str">
        <f ca="1">IFERROR(INDEX(UNSPSCDes,MATCH(INDIRECT(ADDRESS(ROW(),COLUMN()-1,4)),UNSPSCCode,0)),IF(INDIRECT(ADDRESS(ROW(),COLUMN()-1,4))="31211904","Brochas",""))</f>
        <v>Brochas</v>
      </c>
      <c r="C950" s="42" t="str">
        <f>IFERROR(VLOOKUP("UD",'[1]Informacion '!P:Q,2,FALSE),"")</f>
        <v>Unidad</v>
      </c>
      <c r="D950" s="40">
        <v>20</v>
      </c>
      <c r="E950" s="43">
        <v>45</v>
      </c>
      <c r="F950" s="44">
        <f t="shared" ca="1" si="31"/>
        <v>900</v>
      </c>
    </row>
    <row r="951" spans="1:6" x14ac:dyDescent="0.3">
      <c r="A951" s="40" t="s">
        <v>258</v>
      </c>
      <c r="B951" s="41" t="str">
        <f ca="1">IFERROR(INDEX(UNSPSCDes,MATCH(INDIRECT(ADDRESS(ROW(),COLUMN()-1,4)),UNSPSCCode,0)),IF(INDIRECT(ADDRESS(ROW(),COLUMN()-1,4))="31211904","Brochas",""))</f>
        <v>Brochas</v>
      </c>
      <c r="C951" s="42" t="str">
        <f>IFERROR(VLOOKUP("UD",'[1]Informacion '!P:Q,2,FALSE),"")</f>
        <v>Unidad</v>
      </c>
      <c r="D951" s="40">
        <v>20</v>
      </c>
      <c r="E951" s="43">
        <v>50</v>
      </c>
      <c r="F951" s="44">
        <f t="shared" ca="1" si="31"/>
        <v>1000</v>
      </c>
    </row>
    <row r="952" spans="1:6" x14ac:dyDescent="0.3">
      <c r="A952" s="40" t="s">
        <v>259</v>
      </c>
      <c r="B952" s="41" t="str">
        <f ca="1">IFERROR(INDEX(UNSPSCDes,MATCH(INDIRECT(ADDRESS(ROW(),COLUMN()-1,4)),UNSPSCCode,0)),IF(INDIRECT(ADDRESS(ROW(),COLUMN()-1,4))="31211906","Rodillos de pintar",""))</f>
        <v>Rodillos de pintar</v>
      </c>
      <c r="C952" s="42" t="str">
        <f>IFERROR(VLOOKUP("UD",'[1]Informacion '!P:Q,2,FALSE),"")</f>
        <v>Unidad</v>
      </c>
      <c r="D952" s="40">
        <v>15</v>
      </c>
      <c r="E952" s="43">
        <v>150</v>
      </c>
      <c r="F952" s="44">
        <f t="shared" ca="1" si="31"/>
        <v>2250</v>
      </c>
    </row>
    <row r="953" spans="1:6" x14ac:dyDescent="0.3">
      <c r="A953" s="40" t="s">
        <v>259</v>
      </c>
      <c r="B953" s="41" t="str">
        <f ca="1">IFERROR(INDEX(UNSPSCDes,MATCH(INDIRECT(ADDRESS(ROW(),COLUMN()-1,4)),UNSPSCCode,0)),IF(INDIRECT(ADDRESS(ROW(),COLUMN()-1,4))="31211906","Rodillos de pintar",""))</f>
        <v>Rodillos de pintar</v>
      </c>
      <c r="C953" s="42" t="str">
        <f>IFERROR(VLOOKUP("UD",'[1]Informacion '!P:Q,2,FALSE),"")</f>
        <v>Unidad</v>
      </c>
      <c r="D953" s="40">
        <v>15</v>
      </c>
      <c r="E953" s="43">
        <v>175</v>
      </c>
      <c r="F953" s="44">
        <f t="shared" ca="1" si="31"/>
        <v>2625</v>
      </c>
    </row>
    <row r="954" spans="1:6" x14ac:dyDescent="0.3">
      <c r="A954" s="40" t="s">
        <v>260</v>
      </c>
      <c r="B954" s="41" t="str">
        <f ca="1">IFERROR(INDEX(UNSPSCDes,MATCH(INDIRECT(ADDRESS(ROW(),COLUMN()-1,4)),UNSPSCCode,0)),IF(INDIRECT(ADDRESS(ROW(),COLUMN()-1,4))="31201503","Cinta de enmascarar",""))</f>
        <v>Cinta de enmascarar</v>
      </c>
      <c r="C954" s="42" t="str">
        <f>IFERROR(VLOOKUP("UD",'[1]Informacion '!P:Q,2,FALSE),"")</f>
        <v>Unidad</v>
      </c>
      <c r="D954" s="40">
        <v>3</v>
      </c>
      <c r="E954" s="43">
        <v>450</v>
      </c>
      <c r="F954" s="44">
        <f t="shared" ca="1" si="31"/>
        <v>1350</v>
      </c>
    </row>
    <row r="955" spans="1:6" x14ac:dyDescent="0.3">
      <c r="A955" s="40" t="s">
        <v>266</v>
      </c>
      <c r="B955" s="41" t="str">
        <f ca="1">IFERROR(INDEX(UNSPSCDes,MATCH(INDIRECT(ADDRESS(ROW(),COLUMN()-1,4)),UNSPSCCode,0)),IF(INDIRECT(ADDRESS(ROW(),COLUMN()-1,4))="31211705","Barniz de laca",""))</f>
        <v>Barniz de laca</v>
      </c>
      <c r="C955" s="42" t="str">
        <f>IFERROR(VLOOKUP("UD",'[1]Informacion '!P:Q,2,FALSE),"")</f>
        <v>Unidad</v>
      </c>
      <c r="D955" s="40">
        <v>4</v>
      </c>
      <c r="E955" s="43">
        <v>1650</v>
      </c>
      <c r="F955" s="44">
        <f t="shared" ca="1" si="31"/>
        <v>6600</v>
      </c>
    </row>
    <row r="956" spans="1:6" x14ac:dyDescent="0.3">
      <c r="A956" s="40" t="s">
        <v>267</v>
      </c>
      <c r="B956" s="41" t="str">
        <f ca="1">IFERROR(INDEX(UNSPSCDes,MATCH(INDIRECT(ADDRESS(ROW(),COLUMN()-1,4)),UNSPSCCode,0)),IF(INDIRECT(ADDRESS(ROW(),COLUMN()-1,4))="27111509","Barrenas",""))</f>
        <v>Barrenas</v>
      </c>
      <c r="C956" s="42" t="str">
        <f>IFERROR(VLOOKUP("UD",'[1]Informacion '!P:Q,2,FALSE),"")</f>
        <v>Unidad</v>
      </c>
      <c r="D956" s="40">
        <v>5</v>
      </c>
      <c r="E956" s="43">
        <v>90</v>
      </c>
      <c r="F956" s="44">
        <f t="shared" ca="1" si="31"/>
        <v>450</v>
      </c>
    </row>
    <row r="957" spans="1:6" x14ac:dyDescent="0.3">
      <c r="A957" s="40" t="s">
        <v>267</v>
      </c>
      <c r="B957" s="41" t="str">
        <f ca="1">IFERROR(INDEX(UNSPSCDes,MATCH(INDIRECT(ADDRESS(ROW(),COLUMN()-1,4)),UNSPSCCode,0)),IF(INDIRECT(ADDRESS(ROW(),COLUMN()-1,4))="27111509","Barrenas",""))</f>
        <v>Barrenas</v>
      </c>
      <c r="C957" s="42" t="str">
        <f>IFERROR(VLOOKUP("UD",'[1]Informacion '!P:Q,2,FALSE),"")</f>
        <v>Unidad</v>
      </c>
      <c r="D957" s="40">
        <v>5</v>
      </c>
      <c r="E957" s="43">
        <v>150</v>
      </c>
      <c r="F957" s="44">
        <f t="shared" ca="1" si="31"/>
        <v>750</v>
      </c>
    </row>
    <row r="958" spans="1:6" x14ac:dyDescent="0.3">
      <c r="A958" s="40" t="s">
        <v>261</v>
      </c>
      <c r="B958" s="41" t="str">
        <f ca="1">IFERROR(INDEX(UNSPSCDes,MATCH(INDIRECT(ADDRESS(ROW(),COLUMN()-1,4)),UNSPSCCode,0)),IF(INDIRECT(ADDRESS(ROW(),COLUMN()-1,4))="27112004","Palas",""))</f>
        <v>Palas</v>
      </c>
      <c r="C958" s="42" t="str">
        <f>IFERROR(VLOOKUP("UD",'[1]Informacion '!P:Q,2,FALSE),"")</f>
        <v>Unidad</v>
      </c>
      <c r="D958" s="40">
        <v>6</v>
      </c>
      <c r="E958" s="43">
        <v>680</v>
      </c>
      <c r="F958" s="44">
        <f t="shared" ca="1" si="31"/>
        <v>4080</v>
      </c>
    </row>
    <row r="959" spans="1:6" x14ac:dyDescent="0.3">
      <c r="A959" s="40" t="s">
        <v>263</v>
      </c>
      <c r="B959" s="41" t="str">
        <f ca="1">IFERROR(INDEX(UNSPSCDes,MATCH(INDIRECT(ADDRESS(ROW(),COLUMN()-1,4)),UNSPSCCode,0)),IF(INDIRECT(ADDRESS(ROW(),COLUMN()-1,4))="31162004","Clavos de mampostería",""))</f>
        <v>Clavos de mampostería</v>
      </c>
      <c r="C959" s="42" t="str">
        <f>IFERROR(VLOOKUP("LB",'[1]Informacion '!P:Q,2,FALSE),"")</f>
        <v>Libra </v>
      </c>
      <c r="D959" s="40">
        <v>15</v>
      </c>
      <c r="E959" s="43">
        <v>70</v>
      </c>
      <c r="F959" s="44">
        <f t="shared" ca="1" si="31"/>
        <v>1050</v>
      </c>
    </row>
    <row r="960" spans="1:6" x14ac:dyDescent="0.3">
      <c r="A960" s="40" t="s">
        <v>263</v>
      </c>
      <c r="B960" s="41" t="str">
        <f ca="1">IFERROR(INDEX(UNSPSCDes,MATCH(INDIRECT(ADDRESS(ROW(),COLUMN()-1,4)),UNSPSCCode,0)),IF(INDIRECT(ADDRESS(ROW(),COLUMN()-1,4))="31162004","Clavos de mampostería",""))</f>
        <v>Clavos de mampostería</v>
      </c>
      <c r="C960" s="42" t="str">
        <f>IFERROR(VLOOKUP("LB",'[1]Informacion '!P:Q,2,FALSE),"")</f>
        <v>Libra </v>
      </c>
      <c r="D960" s="40">
        <v>15</v>
      </c>
      <c r="E960" s="43">
        <v>70</v>
      </c>
      <c r="F960" s="44">
        <f t="shared" ca="1" si="31"/>
        <v>1050</v>
      </c>
    </row>
    <row r="961" spans="1:6" x14ac:dyDescent="0.3">
      <c r="A961" s="40" t="s">
        <v>264</v>
      </c>
      <c r="B961" s="41" t="str">
        <f ca="1">IFERROR(INDEX(UNSPSCDes,MATCH(INDIRECT(ADDRESS(ROW(),COLUMN()-1,4)),UNSPSCCode,0)),IF(INDIRECT(ADDRESS(ROW(),COLUMN()-1,4))="31161503","Clavo-tornillo",""))</f>
        <v>Clavo-tornillo</v>
      </c>
      <c r="C961" s="42" t="str">
        <f>IFERROR(VLOOKUP("UD",'[1]Informacion '!P:Q,2,FALSE),"")</f>
        <v>Unidad</v>
      </c>
      <c r="D961" s="40">
        <v>100</v>
      </c>
      <c r="E961" s="43">
        <v>2</v>
      </c>
      <c r="F961" s="44">
        <f t="shared" ca="1" si="31"/>
        <v>200</v>
      </c>
    </row>
    <row r="962" spans="1:6" x14ac:dyDescent="0.3">
      <c r="A962" s="40" t="s">
        <v>268</v>
      </c>
      <c r="B962" s="41" t="str">
        <f ca="1">IFERROR(INDEX(UNSPSCDes,MATCH(INDIRECT(ADDRESS(ROW(),COLUMN()-1,4)),UNSPSCCode,0)),IF(INDIRECT(ADDRESS(ROW(),COLUMN()-1,4))="11121604","Madera blanda",""))</f>
        <v>Madera blanda</v>
      </c>
      <c r="C962" s="42" t="str">
        <f>IFERROR(VLOOKUP("UD",'[1]Informacion '!P:Q,2,FALSE),"")</f>
        <v>Unidad</v>
      </c>
      <c r="D962" s="40">
        <v>6</v>
      </c>
      <c r="E962" s="43">
        <v>1300</v>
      </c>
      <c r="F962" s="44">
        <f t="shared" ca="1" si="31"/>
        <v>7800</v>
      </c>
    </row>
    <row r="963" spans="1:6" x14ac:dyDescent="0.3">
      <c r="A963" s="40" t="s">
        <v>268</v>
      </c>
      <c r="B963" s="41" t="str">
        <f ca="1">IFERROR(INDEX(UNSPSCDes,MATCH(INDIRECT(ADDRESS(ROW(),COLUMN()-1,4)),UNSPSCCode,0)),IF(INDIRECT(ADDRESS(ROW(),COLUMN()-1,4))="11121604","Madera blanda",""))</f>
        <v>Madera blanda</v>
      </c>
      <c r="C963" s="42" t="str">
        <f>IFERROR(VLOOKUP("UD",'[1]Informacion '!P:Q,2,FALSE),"")</f>
        <v>Unidad</v>
      </c>
      <c r="D963" s="40">
        <v>6</v>
      </c>
      <c r="E963" s="43">
        <v>1800</v>
      </c>
      <c r="F963" s="44">
        <f t="shared" ca="1" si="31"/>
        <v>10800</v>
      </c>
    </row>
    <row r="964" spans="1:6" x14ac:dyDescent="0.3">
      <c r="A964" s="40" t="s">
        <v>268</v>
      </c>
      <c r="B964" s="41" t="str">
        <f ca="1">IFERROR(INDEX(UNSPSCDes,MATCH(INDIRECT(ADDRESS(ROW(),COLUMN()-1,4)),UNSPSCCode,0)),IF(INDIRECT(ADDRESS(ROW(),COLUMN()-1,4))="11121604","Madera blanda",""))</f>
        <v>Madera blanda</v>
      </c>
      <c r="C964" s="42" t="str">
        <f>IFERROR(VLOOKUP("UD",'[1]Informacion '!P:Q,2,FALSE),"")</f>
        <v>Unidad</v>
      </c>
      <c r="D964" s="40">
        <v>6</v>
      </c>
      <c r="E964" s="43">
        <v>826</v>
      </c>
      <c r="F964" s="44">
        <f t="shared" ca="1" si="31"/>
        <v>4956</v>
      </c>
    </row>
    <row r="965" spans="1:6" x14ac:dyDescent="0.3">
      <c r="A965" s="40" t="s">
        <v>226</v>
      </c>
      <c r="B965" s="41" t="str">
        <f ca="1">IFERROR(INDEX(UNSPSCDes,MATCH(INDIRECT(ADDRESS(ROW(),COLUMN()-1,4)),UNSPSCCode,0)),IF(INDIRECT(ADDRESS(ROW(),COLUMN()-1,4))="40142115","Tubería de plástico",""))</f>
        <v>Tubería de plástico</v>
      </c>
      <c r="C965" s="42" t="str">
        <f>IFERROR(VLOOKUP("UD",'[1]Informacion '!P:Q,2,FALSE),"")</f>
        <v>Unidad</v>
      </c>
      <c r="D965" s="40">
        <v>10</v>
      </c>
      <c r="E965" s="43">
        <v>200</v>
      </c>
      <c r="F965" s="44">
        <f t="shared" ca="1" si="31"/>
        <v>2000</v>
      </c>
    </row>
    <row r="966" spans="1:6" x14ac:dyDescent="0.3">
      <c r="A966" s="40" t="s">
        <v>226</v>
      </c>
      <c r="B966" s="41" t="str">
        <f ca="1">IFERROR(INDEX(UNSPSCDes,MATCH(INDIRECT(ADDRESS(ROW(),COLUMN()-1,4)),UNSPSCCode,0)),IF(INDIRECT(ADDRESS(ROW(),COLUMN()-1,4))="40142115","Tubería de plástico",""))</f>
        <v>Tubería de plástico</v>
      </c>
      <c r="C966" s="42" t="str">
        <f>IFERROR(VLOOKUP("UD",'[1]Informacion '!P:Q,2,FALSE),"")</f>
        <v>Unidad</v>
      </c>
      <c r="D966" s="40">
        <v>15</v>
      </c>
      <c r="E966" s="43">
        <v>30</v>
      </c>
      <c r="F966" s="44">
        <f t="shared" ca="1" si="31"/>
        <v>450</v>
      </c>
    </row>
    <row r="967" spans="1:6" x14ac:dyDescent="0.3">
      <c r="A967" s="40" t="s">
        <v>226</v>
      </c>
      <c r="B967" s="41" t="str">
        <f ca="1">IFERROR(INDEX(UNSPSCDes,MATCH(INDIRECT(ADDRESS(ROW(),COLUMN()-1,4)),UNSPSCCode,0)),IF(INDIRECT(ADDRESS(ROW(),COLUMN()-1,4))="40142115","Tubería de plástico",""))</f>
        <v>Tubería de plástico</v>
      </c>
      <c r="C967" s="42" t="str">
        <f>IFERROR(VLOOKUP("UD",'[1]Informacion '!P:Q,2,FALSE),"")</f>
        <v>Unidad</v>
      </c>
      <c r="D967" s="40">
        <v>12</v>
      </c>
      <c r="E967" s="43">
        <v>150</v>
      </c>
      <c r="F967" s="44">
        <f t="shared" ca="1" si="31"/>
        <v>1800</v>
      </c>
    </row>
    <row r="968" spans="1:6" x14ac:dyDescent="0.3">
      <c r="A968" s="40" t="s">
        <v>227</v>
      </c>
      <c r="B968" s="41" t="str">
        <f ca="1">IFERROR(INDEX(UNSPSCDes,MATCH(INDIRECT(ADDRESS(ROW(),COLUMN()-1,4)),UNSPSCCode,0)),IF(INDIRECT(ADDRESS(ROW(),COLUMN()-1,4))="40142317","Codo de tubería",""))</f>
        <v>Codo de tubería</v>
      </c>
      <c r="C968" s="42" t="str">
        <f>IFERROR(VLOOKUP("UD",'[1]Informacion '!P:Q,2,FALSE),"")</f>
        <v>Unidad</v>
      </c>
      <c r="D968" s="40">
        <v>20</v>
      </c>
      <c r="E968" s="43">
        <v>20</v>
      </c>
      <c r="F968" s="44">
        <f t="shared" ca="1" si="31"/>
        <v>400</v>
      </c>
    </row>
    <row r="969" spans="1:6" x14ac:dyDescent="0.3">
      <c r="A969" s="40" t="s">
        <v>227</v>
      </c>
      <c r="B969" s="41" t="str">
        <f ca="1">IFERROR(INDEX(UNSPSCDes,MATCH(INDIRECT(ADDRESS(ROW(),COLUMN()-1,4)),UNSPSCCode,0)),IF(INDIRECT(ADDRESS(ROW(),COLUMN()-1,4))="40142317","Codo de tubería",""))</f>
        <v>Codo de tubería</v>
      </c>
      <c r="C969" s="42" t="str">
        <f>IFERROR(VLOOKUP("UD",'[1]Informacion '!P:Q,2,FALSE),"")</f>
        <v>Unidad</v>
      </c>
      <c r="D969" s="40">
        <v>20</v>
      </c>
      <c r="E969" s="43">
        <v>30</v>
      </c>
      <c r="F969" s="44">
        <f t="shared" ca="1" si="31"/>
        <v>600</v>
      </c>
    </row>
    <row r="970" spans="1:6" x14ac:dyDescent="0.3">
      <c r="A970" s="40" t="s">
        <v>227</v>
      </c>
      <c r="B970" s="41" t="str">
        <f ca="1">IFERROR(INDEX(UNSPSCDes,MATCH(INDIRECT(ADDRESS(ROW(),COLUMN()-1,4)),UNSPSCCode,0)),IF(INDIRECT(ADDRESS(ROW(),COLUMN()-1,4))="40142317","Codo de tubería",""))</f>
        <v>Codo de tubería</v>
      </c>
      <c r="C970" s="42" t="str">
        <f>IFERROR(VLOOKUP("UD",'[1]Informacion '!P:Q,2,FALSE),"")</f>
        <v>Unidad</v>
      </c>
      <c r="D970" s="40">
        <v>20</v>
      </c>
      <c r="E970" s="43">
        <v>40</v>
      </c>
      <c r="F970" s="44">
        <f t="shared" ca="1" si="31"/>
        <v>800</v>
      </c>
    </row>
    <row r="971" spans="1:6" x14ac:dyDescent="0.3">
      <c r="A971" s="40" t="s">
        <v>82</v>
      </c>
      <c r="B971" s="41" t="str">
        <f ca="1">IFERROR(INDEX(UNSPSCDes,MATCH(INDIRECT(ADDRESS(ROW(),COLUMN()-1,4)),UNSPSCCode,0)),IF(INDIRECT(ADDRESS(ROW(),COLUMN()-1,4))="31201610","Pegamentos",""))</f>
        <v>Pegamentos</v>
      </c>
      <c r="C971" s="42" t="str">
        <f>IFERROR(VLOOKUP("UD",'[1]Informacion '!P:Q,2,FALSE),"")</f>
        <v>Unidad</v>
      </c>
      <c r="D971" s="40">
        <v>6</v>
      </c>
      <c r="E971" s="43">
        <v>900</v>
      </c>
      <c r="F971" s="44">
        <f t="shared" ca="1" si="31"/>
        <v>5400</v>
      </c>
    </row>
    <row r="972" spans="1:6" x14ac:dyDescent="0.3">
      <c r="A972" s="40" t="s">
        <v>82</v>
      </c>
      <c r="B972" s="41" t="str">
        <f ca="1">IFERROR(INDEX(UNSPSCDes,MATCH(INDIRECT(ADDRESS(ROW(),COLUMN()-1,4)),UNSPSCCode,0)),IF(INDIRECT(ADDRESS(ROW(),COLUMN()-1,4))="31201610","Pegamentos",""))</f>
        <v>Pegamentos</v>
      </c>
      <c r="C972" s="42" t="str">
        <f>IFERROR(VLOOKUP("UD",'[1]Informacion '!P:Q,2,FALSE),"")</f>
        <v>Unidad</v>
      </c>
      <c r="D972" s="40">
        <v>6</v>
      </c>
      <c r="E972" s="43">
        <v>500</v>
      </c>
      <c r="F972" s="44">
        <f t="shared" ca="1" si="31"/>
        <v>3000</v>
      </c>
    </row>
    <row r="973" spans="1:6" x14ac:dyDescent="0.3">
      <c r="A973" s="40" t="s">
        <v>229</v>
      </c>
      <c r="B973" s="41" t="str">
        <f ca="1">IFERROR(INDEX(UNSPSCDes,MATCH(INDIRECT(ADDRESS(ROW(),COLUMN()-1,4)),UNSPSCCode,0)),IF(INDIRECT(ADDRESS(ROW(),COLUMN()-1,4))="47131705","Accesorios para urinales o inodoros",""))</f>
        <v>Accesorios para urinales o inodoros</v>
      </c>
      <c r="C973" s="42" t="str">
        <f>IFERROR(VLOOKUP("UD",'[1]Informacion '!P:Q,2,FALSE),"")</f>
        <v>Unidad</v>
      </c>
      <c r="D973" s="40">
        <v>6</v>
      </c>
      <c r="E973" s="43">
        <v>500</v>
      </c>
      <c r="F973" s="44">
        <f t="shared" ca="1" si="31"/>
        <v>3000</v>
      </c>
    </row>
    <row r="974" spans="1:6" x14ac:dyDescent="0.3">
      <c r="A974" s="40" t="s">
        <v>230</v>
      </c>
      <c r="B974" s="41" t="str">
        <f ca="1">IFERROR(INDEX(UNSPSCDes,MATCH(INDIRECT(ADDRESS(ROW(),COLUMN()-1,4)),UNSPSCCode,0)),IF(INDIRECT(ADDRESS(ROW(),COLUMN()-1,4))="40142320","Uniones de tubería",""))</f>
        <v>Uniones de tubería</v>
      </c>
      <c r="C974" s="42" t="str">
        <f>IFERROR(VLOOKUP("UD",'[1]Informacion '!P:Q,2,FALSE),"")</f>
        <v>Unidad</v>
      </c>
      <c r="D974" s="40">
        <v>12</v>
      </c>
      <c r="E974" s="43">
        <v>30</v>
      </c>
      <c r="F974" s="44">
        <f t="shared" ca="1" si="31"/>
        <v>360</v>
      </c>
    </row>
    <row r="975" spans="1:6" x14ac:dyDescent="0.3">
      <c r="A975" s="40" t="s">
        <v>231</v>
      </c>
      <c r="B975" s="41" t="str">
        <f ca="1">IFERROR(INDEX(UNSPSCDes,MATCH(INDIRECT(ADDRESS(ROW(),COLUMN()-1,4)),UNSPSCCode,0)),IF(INDIRECT(ADDRESS(ROW(),COLUMN()-1,4))="40142605","Piezas en T de tubo",""))</f>
        <v>Piezas en T de tubo</v>
      </c>
      <c r="C975" s="42" t="str">
        <f>IFERROR(VLOOKUP("UD",'[1]Informacion '!P:Q,2,FALSE),"")</f>
        <v>Unidad</v>
      </c>
      <c r="D975" s="40">
        <v>12</v>
      </c>
      <c r="E975" s="43">
        <v>20</v>
      </c>
      <c r="F975" s="44">
        <f t="shared" ca="1" si="31"/>
        <v>240</v>
      </c>
    </row>
    <row r="976" spans="1:6" x14ac:dyDescent="0.3">
      <c r="A976" s="40" t="s">
        <v>231</v>
      </c>
      <c r="B976" s="41" t="str">
        <f ca="1">IFERROR(INDEX(UNSPSCDes,MATCH(INDIRECT(ADDRESS(ROW(),COLUMN()-1,4)),UNSPSCCode,0)),IF(INDIRECT(ADDRESS(ROW(),COLUMN()-1,4))="40142605","Piezas en T de tubo",""))</f>
        <v>Piezas en T de tubo</v>
      </c>
      <c r="C976" s="42" t="str">
        <f>IFERROR(VLOOKUP("UD",'[1]Informacion '!P:Q,2,FALSE),"")</f>
        <v>Unidad</v>
      </c>
      <c r="D976" s="40">
        <v>12</v>
      </c>
      <c r="E976" s="43">
        <v>25</v>
      </c>
      <c r="F976" s="44">
        <f t="shared" ca="1" si="31"/>
        <v>300</v>
      </c>
    </row>
    <row r="977" spans="1:6" x14ac:dyDescent="0.3">
      <c r="A977" s="40" t="s">
        <v>232</v>
      </c>
      <c r="B977" s="41" t="str">
        <f ca="1">IFERROR(INDEX(UNSPSCDes,MATCH(INDIRECT(ADDRESS(ROW(),COLUMN()-1,4)),UNSPSCCode,0)),IF(INDIRECT(ADDRESS(ROW(),COLUMN()-1,4))="40141702","Grifos",""))</f>
        <v>Grifos</v>
      </c>
      <c r="C977" s="42" t="str">
        <f>IFERROR(VLOOKUP("UD",'[1]Informacion '!P:Q,2,FALSE),"")</f>
        <v>Unidad</v>
      </c>
      <c r="D977" s="40">
        <v>5</v>
      </c>
      <c r="E977" s="43">
        <v>250</v>
      </c>
      <c r="F977" s="44">
        <f t="shared" ca="1" si="31"/>
        <v>1250</v>
      </c>
    </row>
    <row r="978" spans="1:6" x14ac:dyDescent="0.3">
      <c r="A978" s="40" t="s">
        <v>233</v>
      </c>
      <c r="B978" s="41" t="str">
        <f ca="1">IFERROR(INDEX(UNSPSCDes,MATCH(INDIRECT(ADDRESS(ROW(),COLUMN()-1,4)),UNSPSCCode,0)),IF(INDIRECT(ADDRESS(ROW(),COLUMN()-1,4))="40141605","Válvulas solenoides",""))</f>
        <v>Válvulas solenoides</v>
      </c>
      <c r="C978" s="42" t="str">
        <f>IFERROR(VLOOKUP("UD",'[1]Informacion '!P:Q,2,FALSE),"")</f>
        <v>Unidad</v>
      </c>
      <c r="D978" s="40">
        <v>6</v>
      </c>
      <c r="E978" s="43">
        <v>250</v>
      </c>
      <c r="F978" s="44">
        <f t="shared" ca="1" si="31"/>
        <v>1500</v>
      </c>
    </row>
    <row r="979" spans="1:6" x14ac:dyDescent="0.3">
      <c r="A979" s="30"/>
      <c r="B979" s="30"/>
      <c r="C979" s="30"/>
      <c r="D979" s="30"/>
      <c r="E979" s="45" t="s">
        <v>52</v>
      </c>
      <c r="F979" s="46">
        <f ca="1">SUM(Table47[MONTO TOTAL ESTIMADO])</f>
        <v>291411</v>
      </c>
    </row>
    <row r="980" spans="1:6" ht="15" thickBot="1" x14ac:dyDescent="0.35">
      <c r="A980" s="30"/>
      <c r="B980" s="30"/>
      <c r="C980" s="30"/>
      <c r="D980" s="30"/>
      <c r="E980" s="30"/>
      <c r="F980" s="30"/>
    </row>
    <row r="981" spans="1:6" ht="21" thickBot="1" x14ac:dyDescent="0.35">
      <c r="A981" s="31" t="s">
        <v>19</v>
      </c>
      <c r="B981" s="31" t="s">
        <v>20</v>
      </c>
      <c r="C981" s="31" t="s">
        <v>21</v>
      </c>
      <c r="D981" s="31" t="s">
        <v>22</v>
      </c>
      <c r="E981" s="31" t="s">
        <v>23</v>
      </c>
      <c r="F981" s="31" t="s">
        <v>24</v>
      </c>
    </row>
    <row r="982" spans="1:6" ht="31.2" thickBot="1" x14ac:dyDescent="0.35">
      <c r="A982" s="12" t="s">
        <v>287</v>
      </c>
      <c r="B982" s="12" t="s">
        <v>287</v>
      </c>
      <c r="C982" s="12" t="s">
        <v>143</v>
      </c>
      <c r="D982" s="12" t="s">
        <v>28</v>
      </c>
      <c r="E982" s="12" t="s">
        <v>59</v>
      </c>
      <c r="F982" s="12"/>
    </row>
    <row r="983" spans="1:6" ht="15" thickBot="1" x14ac:dyDescent="0.35">
      <c r="A983" s="32" t="s">
        <v>30</v>
      </c>
      <c r="B983" s="33" t="s">
        <v>31</v>
      </c>
      <c r="C983" s="34">
        <v>45712</v>
      </c>
      <c r="D983" s="32" t="s">
        <v>32</v>
      </c>
      <c r="E983" s="35" t="s">
        <v>33</v>
      </c>
      <c r="F983" s="36" t="s">
        <v>34</v>
      </c>
    </row>
    <row r="984" spans="1:6" ht="15" thickBot="1" x14ac:dyDescent="0.35">
      <c r="A984" s="37"/>
      <c r="B984" s="33" t="s">
        <v>35</v>
      </c>
      <c r="C984" s="38">
        <f>IF(C983="","",IF(AND(MONTH(C983)&gt;=1,MONTH(C983)&lt;=3),1,IF(AND(MONTH(C983)&gt;=4,MONTH(C983)&lt;=6),2,IF(AND(MONTH(C983)&gt;=7,MONTH(C983)&lt;=9),3,4))))</f>
        <v>1</v>
      </c>
      <c r="D984" s="37"/>
      <c r="E984" s="35" t="s">
        <v>36</v>
      </c>
      <c r="F984" s="36" t="s">
        <v>37</v>
      </c>
    </row>
    <row r="985" spans="1:6" ht="15" thickBot="1" x14ac:dyDescent="0.35">
      <c r="A985" s="37"/>
      <c r="B985" s="33" t="s">
        <v>38</v>
      </c>
      <c r="C985" s="34">
        <v>45716</v>
      </c>
      <c r="D985" s="37"/>
      <c r="E985" s="35" t="s">
        <v>39</v>
      </c>
      <c r="F985" s="36" t="s">
        <v>37</v>
      </c>
    </row>
    <row r="986" spans="1:6" ht="15" thickBot="1" x14ac:dyDescent="0.35">
      <c r="A986" s="37"/>
      <c r="B986" s="33" t="s">
        <v>35</v>
      </c>
      <c r="C986" s="38">
        <f>IF(C985="","",IF(AND(MONTH(C985)&gt;=1,MONTH(C985)&lt;=3),1,IF(AND(MONTH(C985)&gt;=4,MONTH(C985)&lt;=6),2,IF(AND(MONTH(C985)&gt;=7,MONTH(C985)&lt;=9),3,4))))</f>
        <v>1</v>
      </c>
      <c r="D986" s="37"/>
      <c r="E986" s="35" t="s">
        <v>40</v>
      </c>
      <c r="F986" s="36"/>
    </row>
    <row r="987" spans="1:6" ht="15" thickBot="1" x14ac:dyDescent="0.35">
      <c r="A987" s="30"/>
      <c r="B987" s="30"/>
      <c r="C987" s="30"/>
      <c r="D987" s="30"/>
      <c r="E987" s="30"/>
      <c r="F987" s="30"/>
    </row>
    <row r="988" spans="1:6" ht="15" thickBot="1" x14ac:dyDescent="0.35">
      <c r="A988" s="39" t="s">
        <v>41</v>
      </c>
      <c r="B988" s="39" t="s">
        <v>42</v>
      </c>
      <c r="C988" s="39" t="s">
        <v>43</v>
      </c>
      <c r="D988" s="39" t="s">
        <v>44</v>
      </c>
      <c r="E988" s="39" t="s">
        <v>45</v>
      </c>
      <c r="F988" s="39" t="s">
        <v>46</v>
      </c>
    </row>
    <row r="989" spans="1:6" ht="20.399999999999999" x14ac:dyDescent="0.3">
      <c r="A989" s="40" t="s">
        <v>288</v>
      </c>
      <c r="B989" s="41" t="str">
        <f ca="1">IFERROR(INDEX(UNSPSCDes,MATCH(INDIRECT(ADDRESS(ROW(),COLUMN()-1,4)),UNSPSCCode,0)),IF(INDIRECT(ADDRESS(ROW(),COLUMN()-1,4))="72101701","Servicios de hormigón o estuco para exteriores",""))</f>
        <v>Servicios de hormigón o estuco para exteriores</v>
      </c>
      <c r="C989" s="42" t="str">
        <f>IFERROR(VLOOKUP("UD",'[1]Informacion '!P:Q,2,FALSE),"")</f>
        <v>Unidad</v>
      </c>
      <c r="D989" s="40">
        <v>1</v>
      </c>
      <c r="E989" s="43">
        <v>1000000</v>
      </c>
      <c r="F989" s="44">
        <f ca="1">INDIRECT(ADDRESS(ROW(),COLUMN()-2,4))*INDIRECT(ADDRESS(ROW(),COLUMN()-1,4))</f>
        <v>1000000</v>
      </c>
    </row>
    <row r="990" spans="1:6" x14ac:dyDescent="0.3">
      <c r="A990" s="30"/>
      <c r="B990" s="30"/>
      <c r="C990" s="30"/>
      <c r="D990" s="30"/>
      <c r="E990" s="45" t="s">
        <v>52</v>
      </c>
      <c r="F990" s="46">
        <f ca="1">SUM(Table48[MONTO TOTAL ESTIMADO])</f>
        <v>1000000</v>
      </c>
    </row>
    <row r="991" spans="1:6" ht="15" thickBot="1" x14ac:dyDescent="0.35">
      <c r="A991" s="30"/>
      <c r="B991" s="30"/>
      <c r="C991" s="30"/>
      <c r="D991" s="30"/>
      <c r="E991" s="30"/>
      <c r="F991" s="30"/>
    </row>
    <row r="992" spans="1:6" ht="21" thickBot="1" x14ac:dyDescent="0.35">
      <c r="A992" s="31" t="s">
        <v>19</v>
      </c>
      <c r="B992" s="31" t="s">
        <v>20</v>
      </c>
      <c r="C992" s="31" t="s">
        <v>21</v>
      </c>
      <c r="D992" s="31" t="s">
        <v>22</v>
      </c>
      <c r="E992" s="31" t="s">
        <v>23</v>
      </c>
      <c r="F992" s="31" t="s">
        <v>24</v>
      </c>
    </row>
    <row r="993" spans="1:6" ht="31.2" thickBot="1" x14ac:dyDescent="0.35">
      <c r="A993" s="12" t="s">
        <v>289</v>
      </c>
      <c r="B993" s="12" t="s">
        <v>289</v>
      </c>
      <c r="C993" s="12" t="s">
        <v>143</v>
      </c>
      <c r="D993" s="12" t="s">
        <v>28</v>
      </c>
      <c r="E993" s="12" t="s">
        <v>59</v>
      </c>
      <c r="F993" s="12"/>
    </row>
    <row r="994" spans="1:6" ht="15" thickBot="1" x14ac:dyDescent="0.35">
      <c r="A994" s="32" t="s">
        <v>30</v>
      </c>
      <c r="B994" s="33" t="s">
        <v>31</v>
      </c>
      <c r="C994" s="34">
        <v>45705</v>
      </c>
      <c r="D994" s="32" t="s">
        <v>32</v>
      </c>
      <c r="E994" s="35" t="s">
        <v>33</v>
      </c>
      <c r="F994" s="36" t="s">
        <v>34</v>
      </c>
    </row>
    <row r="995" spans="1:6" ht="15" thickBot="1" x14ac:dyDescent="0.35">
      <c r="A995" s="37"/>
      <c r="B995" s="33" t="s">
        <v>35</v>
      </c>
      <c r="C995" s="38">
        <f>IF(C994="","",IF(AND(MONTH(C994)&gt;=1,MONTH(C994)&lt;=3),1,IF(AND(MONTH(C994)&gt;=4,MONTH(C994)&lt;=6),2,IF(AND(MONTH(C994)&gt;=7,MONTH(C994)&lt;=9),3,4))))</f>
        <v>1</v>
      </c>
      <c r="D995" s="37"/>
      <c r="E995" s="35" t="s">
        <v>36</v>
      </c>
      <c r="F995" s="36" t="s">
        <v>37</v>
      </c>
    </row>
    <row r="996" spans="1:6" ht="15" thickBot="1" x14ac:dyDescent="0.35">
      <c r="A996" s="37"/>
      <c r="B996" s="33" t="s">
        <v>38</v>
      </c>
      <c r="C996" s="34">
        <v>45713</v>
      </c>
      <c r="D996" s="37"/>
      <c r="E996" s="35" t="s">
        <v>39</v>
      </c>
      <c r="F996" s="36" t="s">
        <v>37</v>
      </c>
    </row>
    <row r="997" spans="1:6" ht="15" thickBot="1" x14ac:dyDescent="0.35">
      <c r="A997" s="37"/>
      <c r="B997" s="33" t="s">
        <v>35</v>
      </c>
      <c r="C997" s="38">
        <f>IF(C996="","",IF(AND(MONTH(C996)&gt;=1,MONTH(C996)&lt;=3),1,IF(AND(MONTH(C996)&gt;=4,MONTH(C996)&lt;=6),2,IF(AND(MONTH(C996)&gt;=7,MONTH(C996)&lt;=9),3,4))))</f>
        <v>1</v>
      </c>
      <c r="D997" s="37"/>
      <c r="E997" s="35" t="s">
        <v>40</v>
      </c>
      <c r="F997" s="36"/>
    </row>
    <row r="998" spans="1:6" ht="15" thickBot="1" x14ac:dyDescent="0.35">
      <c r="A998" s="30"/>
      <c r="B998" s="30"/>
      <c r="C998" s="30"/>
      <c r="D998" s="30"/>
      <c r="E998" s="30"/>
      <c r="F998" s="30"/>
    </row>
    <row r="999" spans="1:6" ht="15" thickBot="1" x14ac:dyDescent="0.35">
      <c r="A999" s="39" t="s">
        <v>41</v>
      </c>
      <c r="B999" s="39" t="s">
        <v>42</v>
      </c>
      <c r="C999" s="39" t="s">
        <v>43</v>
      </c>
      <c r="D999" s="39" t="s">
        <v>44</v>
      </c>
      <c r="E999" s="39" t="s">
        <v>45</v>
      </c>
      <c r="F999" s="39" t="s">
        <v>46</v>
      </c>
    </row>
    <row r="1000" spans="1:6" ht="20.399999999999999" x14ac:dyDescent="0.3">
      <c r="A1000" s="40" t="s">
        <v>290</v>
      </c>
      <c r="B1000" s="41" t="str">
        <f ca="1">IFERROR(INDEX(UNSPSCDes,MATCH(INDIRECT(ADDRESS(ROW(),COLUMN()-1,4)),UNSPSCCode,0)),IF(INDIRECT(ADDRESS(ROW(),COLUMN()-1,4))="78180108","Servicios de mantenimiento y reparación de camiones pesados",""))</f>
        <v>Servicios de mantenimiento y reparación de camiones pesados</v>
      </c>
      <c r="C1000" s="42" t="str">
        <f>IFERROR(VLOOKUP("UD",'[1]Informacion '!P:Q,2,FALSE),"")</f>
        <v>Unidad</v>
      </c>
      <c r="D1000" s="40">
        <v>1</v>
      </c>
      <c r="E1000" s="43">
        <v>560000</v>
      </c>
      <c r="F1000" s="44">
        <f ca="1">INDIRECT(ADDRESS(ROW(),COLUMN()-2,4))*INDIRECT(ADDRESS(ROW(),COLUMN()-1,4))</f>
        <v>560000</v>
      </c>
    </row>
    <row r="1001" spans="1:6" ht="20.399999999999999" x14ac:dyDescent="0.3">
      <c r="A1001" s="40" t="s">
        <v>290</v>
      </c>
      <c r="B1001" s="41" t="str">
        <f ca="1">IFERROR(INDEX(UNSPSCDes,MATCH(INDIRECT(ADDRESS(ROW(),COLUMN()-1,4)),UNSPSCCode,0)),IF(INDIRECT(ADDRESS(ROW(),COLUMN()-1,4))="78180108","Servicios de mantenimiento y reparación de camiones pesados",""))</f>
        <v>Servicios de mantenimiento y reparación de camiones pesados</v>
      </c>
      <c r="C1001" s="42" t="str">
        <f>IFERROR(VLOOKUP("UD",'[1]Informacion '!P:Q,2,FALSE),"")</f>
        <v>Unidad</v>
      </c>
      <c r="D1001" s="40">
        <v>1</v>
      </c>
      <c r="E1001" s="43">
        <v>560000</v>
      </c>
      <c r="F1001" s="44">
        <f ca="1">INDIRECT(ADDRESS(ROW(),COLUMN()-2,4))*INDIRECT(ADDRESS(ROW(),COLUMN()-1,4))</f>
        <v>560000</v>
      </c>
    </row>
    <row r="1002" spans="1:6" ht="20.399999999999999" x14ac:dyDescent="0.3">
      <c r="A1002" s="40" t="s">
        <v>290</v>
      </c>
      <c r="B1002" s="41" t="str">
        <f ca="1">IFERROR(INDEX(UNSPSCDes,MATCH(INDIRECT(ADDRESS(ROW(),COLUMN()-1,4)),UNSPSCCode,0)),IF(INDIRECT(ADDRESS(ROW(),COLUMN()-1,4))="78180108","Servicios de mantenimiento y reparación de camiones pesados",""))</f>
        <v>Servicios de mantenimiento y reparación de camiones pesados</v>
      </c>
      <c r="C1002" s="42" t="str">
        <f>IFERROR(VLOOKUP("UD",'[1]Informacion '!P:Q,2,FALSE),"")</f>
        <v>Unidad</v>
      </c>
      <c r="D1002" s="40">
        <v>1</v>
      </c>
      <c r="E1002" s="43">
        <v>560000</v>
      </c>
      <c r="F1002" s="44">
        <f ca="1">INDIRECT(ADDRESS(ROW(),COLUMN()-2,4))*INDIRECT(ADDRESS(ROW(),COLUMN()-1,4))</f>
        <v>560000</v>
      </c>
    </row>
    <row r="1003" spans="1:6" x14ac:dyDescent="0.3">
      <c r="A1003" s="30"/>
      <c r="B1003" s="30"/>
      <c r="C1003" s="30"/>
      <c r="D1003" s="30"/>
      <c r="E1003" s="45" t="s">
        <v>52</v>
      </c>
      <c r="F1003" s="46">
        <f ca="1">SUM(Table49[MONTO TOTAL ESTIMADO])</f>
        <v>1680000</v>
      </c>
    </row>
    <row r="1004" spans="1:6" ht="15" thickBot="1" x14ac:dyDescent="0.35">
      <c r="A1004" s="30"/>
      <c r="B1004" s="30"/>
      <c r="C1004" s="30"/>
      <c r="D1004" s="30"/>
      <c r="E1004" s="30"/>
      <c r="F1004" s="30"/>
    </row>
    <row r="1005" spans="1:6" ht="21" thickBot="1" x14ac:dyDescent="0.35">
      <c r="A1005" s="31" t="s">
        <v>19</v>
      </c>
      <c r="B1005" s="31" t="s">
        <v>20</v>
      </c>
      <c r="C1005" s="31" t="s">
        <v>21</v>
      </c>
      <c r="D1005" s="31" t="s">
        <v>22</v>
      </c>
      <c r="E1005" s="31" t="s">
        <v>23</v>
      </c>
      <c r="F1005" s="31" t="s">
        <v>24</v>
      </c>
    </row>
    <row r="1006" spans="1:6" ht="31.2" thickBot="1" x14ac:dyDescent="0.35">
      <c r="A1006" s="12" t="s">
        <v>291</v>
      </c>
      <c r="B1006" s="12" t="s">
        <v>292</v>
      </c>
      <c r="C1006" s="12" t="s">
        <v>27</v>
      </c>
      <c r="D1006" s="12" t="s">
        <v>80</v>
      </c>
      <c r="E1006" s="12" t="s">
        <v>59</v>
      </c>
      <c r="F1006" s="12"/>
    </row>
    <row r="1007" spans="1:6" ht="15" thickBot="1" x14ac:dyDescent="0.35">
      <c r="A1007" s="32" t="s">
        <v>30</v>
      </c>
      <c r="B1007" s="33" t="s">
        <v>31</v>
      </c>
      <c r="C1007" s="34">
        <v>45817</v>
      </c>
      <c r="D1007" s="32" t="s">
        <v>32</v>
      </c>
      <c r="E1007" s="35" t="s">
        <v>33</v>
      </c>
      <c r="F1007" s="36" t="s">
        <v>34</v>
      </c>
    </row>
    <row r="1008" spans="1:6" ht="15" thickBot="1" x14ac:dyDescent="0.35">
      <c r="A1008" s="37"/>
      <c r="B1008" s="33" t="s">
        <v>35</v>
      </c>
      <c r="C1008" s="38">
        <f>IF(C1007="","",IF(AND(MONTH(C1007)&gt;=1,MONTH(C1007)&lt;=3),1,IF(AND(MONTH(C1007)&gt;=4,MONTH(C1007)&lt;=6),2,IF(AND(MONTH(C1007)&gt;=7,MONTH(C1007)&lt;=9),3,4))))</f>
        <v>2</v>
      </c>
      <c r="D1008" s="37"/>
      <c r="E1008" s="35" t="s">
        <v>36</v>
      </c>
      <c r="F1008" s="36" t="s">
        <v>37</v>
      </c>
    </row>
    <row r="1009" spans="1:6" ht="15" thickBot="1" x14ac:dyDescent="0.35">
      <c r="A1009" s="37"/>
      <c r="B1009" s="33" t="s">
        <v>38</v>
      </c>
      <c r="C1009" s="34">
        <v>45819</v>
      </c>
      <c r="D1009" s="37"/>
      <c r="E1009" s="35" t="s">
        <v>39</v>
      </c>
      <c r="F1009" s="36" t="s">
        <v>37</v>
      </c>
    </row>
    <row r="1010" spans="1:6" ht="15" thickBot="1" x14ac:dyDescent="0.35">
      <c r="A1010" s="37"/>
      <c r="B1010" s="33" t="s">
        <v>35</v>
      </c>
      <c r="C1010" s="38">
        <f>IF(C1009="","",IF(AND(MONTH(C1009)&gt;=1,MONTH(C1009)&lt;=3),1,IF(AND(MONTH(C1009)&gt;=4,MONTH(C1009)&lt;=6),2,IF(AND(MONTH(C1009)&gt;=7,MONTH(C1009)&lt;=9),3,4))))</f>
        <v>2</v>
      </c>
      <c r="D1010" s="37"/>
      <c r="E1010" s="35" t="s">
        <v>40</v>
      </c>
      <c r="F1010" s="36"/>
    </row>
    <row r="1011" spans="1:6" ht="15" thickBot="1" x14ac:dyDescent="0.35">
      <c r="A1011" s="30"/>
      <c r="B1011" s="30"/>
      <c r="C1011" s="30"/>
      <c r="D1011" s="30"/>
      <c r="E1011" s="30"/>
      <c r="F1011" s="30"/>
    </row>
    <row r="1012" spans="1:6" ht="15" thickBot="1" x14ac:dyDescent="0.35">
      <c r="A1012" s="39" t="s">
        <v>41</v>
      </c>
      <c r="B1012" s="39" t="s">
        <v>42</v>
      </c>
      <c r="C1012" s="39" t="s">
        <v>43</v>
      </c>
      <c r="D1012" s="39" t="s">
        <v>44</v>
      </c>
      <c r="E1012" s="39" t="s">
        <v>45</v>
      </c>
      <c r="F1012" s="39" t="s">
        <v>46</v>
      </c>
    </row>
    <row r="1013" spans="1:6" x14ac:dyDescent="0.3">
      <c r="A1013" s="40" t="s">
        <v>293</v>
      </c>
      <c r="B1013" s="41" t="str">
        <f ca="1">IFERROR(INDEX(UNSPSCDes,MATCH(INDIRECT(ADDRESS(ROW(),COLUMN()-1,4)),UNSPSCCode,0)),IF(INDIRECT(ADDRESS(ROW(),COLUMN()-1,4))="12141901","Cloro cl",""))</f>
        <v>Cloro cl</v>
      </c>
      <c r="C1013" s="42" t="str">
        <f>IFERROR(VLOOKUP("PAQ",'[1]Informacion '!P:Q,2,FALSE),"")</f>
        <v>Paquete</v>
      </c>
      <c r="D1013" s="40">
        <v>45</v>
      </c>
      <c r="E1013" s="43">
        <v>5000</v>
      </c>
      <c r="F1013" s="44">
        <f ca="1">INDIRECT(ADDRESS(ROW(),COLUMN()-2,4))*INDIRECT(ADDRESS(ROW(),COLUMN()-1,4))</f>
        <v>225000</v>
      </c>
    </row>
    <row r="1014" spans="1:6" x14ac:dyDescent="0.3">
      <c r="A1014" s="30"/>
      <c r="B1014" s="30"/>
      <c r="C1014" s="30"/>
      <c r="D1014" s="30"/>
      <c r="E1014" s="45" t="s">
        <v>52</v>
      </c>
      <c r="F1014" s="46">
        <f ca="1">SUM(Table50[MONTO TOTAL ESTIMADO])</f>
        <v>225000</v>
      </c>
    </row>
    <row r="1015" spans="1:6" ht="15" thickBot="1" x14ac:dyDescent="0.35">
      <c r="A1015" s="30"/>
      <c r="B1015" s="30"/>
      <c r="C1015" s="30"/>
      <c r="D1015" s="30"/>
      <c r="E1015" s="30"/>
      <c r="F1015" s="30"/>
    </row>
    <row r="1016" spans="1:6" ht="21" thickBot="1" x14ac:dyDescent="0.35">
      <c r="A1016" s="31" t="s">
        <v>19</v>
      </c>
      <c r="B1016" s="31" t="s">
        <v>20</v>
      </c>
      <c r="C1016" s="31" t="s">
        <v>21</v>
      </c>
      <c r="D1016" s="31" t="s">
        <v>22</v>
      </c>
      <c r="E1016" s="31" t="s">
        <v>23</v>
      </c>
      <c r="F1016" s="31" t="s">
        <v>24</v>
      </c>
    </row>
    <row r="1017" spans="1:6" ht="21" thickBot="1" x14ac:dyDescent="0.35">
      <c r="A1017" s="12" t="s">
        <v>294</v>
      </c>
      <c r="B1017" s="12" t="s">
        <v>294</v>
      </c>
      <c r="C1017" s="12" t="s">
        <v>27</v>
      </c>
      <c r="D1017" s="12" t="s">
        <v>28</v>
      </c>
      <c r="E1017" s="12" t="s">
        <v>59</v>
      </c>
      <c r="F1017" s="12"/>
    </row>
    <row r="1018" spans="1:6" ht="15" thickBot="1" x14ac:dyDescent="0.35">
      <c r="A1018" s="32" t="s">
        <v>30</v>
      </c>
      <c r="B1018" s="33" t="s">
        <v>31</v>
      </c>
      <c r="C1018" s="34">
        <v>45670</v>
      </c>
      <c r="D1018" s="32" t="s">
        <v>32</v>
      </c>
      <c r="E1018" s="35" t="s">
        <v>33</v>
      </c>
      <c r="F1018" s="36" t="s">
        <v>34</v>
      </c>
    </row>
    <row r="1019" spans="1:6" ht="15" thickBot="1" x14ac:dyDescent="0.35">
      <c r="A1019" s="37"/>
      <c r="B1019" s="33" t="s">
        <v>35</v>
      </c>
      <c r="C1019" s="38">
        <f>IF(C1018="","",IF(AND(MONTH(C1018)&gt;=1,MONTH(C1018)&lt;=3),1,IF(AND(MONTH(C1018)&gt;=4,MONTH(C1018)&lt;=6),2,IF(AND(MONTH(C1018)&gt;=7,MONTH(C1018)&lt;=9),3,4))))</f>
        <v>1</v>
      </c>
      <c r="D1019" s="37"/>
      <c r="E1019" s="35" t="s">
        <v>36</v>
      </c>
      <c r="F1019" s="36" t="s">
        <v>37</v>
      </c>
    </row>
    <row r="1020" spans="1:6" ht="15" thickBot="1" x14ac:dyDescent="0.35">
      <c r="A1020" s="37"/>
      <c r="B1020" s="33" t="s">
        <v>38</v>
      </c>
      <c r="C1020" s="34">
        <v>45674</v>
      </c>
      <c r="D1020" s="37"/>
      <c r="E1020" s="35" t="s">
        <v>39</v>
      </c>
      <c r="F1020" s="36" t="s">
        <v>37</v>
      </c>
    </row>
    <row r="1021" spans="1:6" ht="15" thickBot="1" x14ac:dyDescent="0.35">
      <c r="A1021" s="37"/>
      <c r="B1021" s="33" t="s">
        <v>35</v>
      </c>
      <c r="C1021" s="38">
        <f>IF(C1020="","",IF(AND(MONTH(C1020)&gt;=1,MONTH(C1020)&lt;=3),1,IF(AND(MONTH(C1020)&gt;=4,MONTH(C1020)&lt;=6),2,IF(AND(MONTH(C1020)&gt;=7,MONTH(C1020)&lt;=9),3,4))))</f>
        <v>1</v>
      </c>
      <c r="D1021" s="37"/>
      <c r="E1021" s="35" t="s">
        <v>40</v>
      </c>
      <c r="F1021" s="36"/>
    </row>
    <row r="1022" spans="1:6" ht="15" thickBot="1" x14ac:dyDescent="0.35">
      <c r="A1022" s="30"/>
      <c r="B1022" s="30"/>
      <c r="C1022" s="30"/>
      <c r="D1022" s="30"/>
      <c r="E1022" s="30"/>
      <c r="F1022" s="30"/>
    </row>
    <row r="1023" spans="1:6" ht="15" thickBot="1" x14ac:dyDescent="0.35">
      <c r="A1023" s="39" t="s">
        <v>41</v>
      </c>
      <c r="B1023" s="39" t="s">
        <v>42</v>
      </c>
      <c r="C1023" s="39" t="s">
        <v>43</v>
      </c>
      <c r="D1023" s="39" t="s">
        <v>44</v>
      </c>
      <c r="E1023" s="39" t="s">
        <v>45</v>
      </c>
      <c r="F1023" s="39" t="s">
        <v>46</v>
      </c>
    </row>
    <row r="1024" spans="1:6" x14ac:dyDescent="0.3">
      <c r="A1024" s="40" t="s">
        <v>295</v>
      </c>
      <c r="B1024" s="41" t="str">
        <f ca="1">IFERROR(INDEX(UNSPSCDes,MATCH(INDIRECT(ADDRESS(ROW(),COLUMN()-1,4)),UNSPSCCode,0)),IF(INDIRECT(ADDRESS(ROW(),COLUMN()-1,4))="46171610","Cámaras de seguridad",""))</f>
        <v>Cámaras de seguridad</v>
      </c>
      <c r="C1024" s="42" t="str">
        <f>IFERROR(VLOOKUP("UD",'[1]Informacion '!P:Q,2,FALSE),"")</f>
        <v>Unidad</v>
      </c>
      <c r="D1024" s="40">
        <v>40</v>
      </c>
      <c r="E1024" s="43">
        <v>6000</v>
      </c>
      <c r="F1024" s="44">
        <f ca="1">INDIRECT(ADDRESS(ROW(),COLUMN()-2,4))*INDIRECT(ADDRESS(ROW(),COLUMN()-1,4))</f>
        <v>240000</v>
      </c>
    </row>
    <row r="1025" spans="1:6" x14ac:dyDescent="0.3">
      <c r="A1025" s="40" t="s">
        <v>295</v>
      </c>
      <c r="B1025" s="41" t="str">
        <f ca="1">IFERROR(INDEX(UNSPSCDes,MATCH(INDIRECT(ADDRESS(ROW(),COLUMN()-1,4)),UNSPSCCode,0)),IF(INDIRECT(ADDRESS(ROW(),COLUMN()-1,4))="46171610","Cámaras de seguridad",""))</f>
        <v>Cámaras de seguridad</v>
      </c>
      <c r="C1025" s="42" t="str">
        <f>IFERROR(VLOOKUP("UD",'[1]Informacion '!P:Q,2,FALSE),"")</f>
        <v>Unidad</v>
      </c>
      <c r="D1025" s="40">
        <v>20</v>
      </c>
      <c r="E1025" s="43">
        <v>10000</v>
      </c>
      <c r="F1025" s="44">
        <f ca="1">INDIRECT(ADDRESS(ROW(),COLUMN()-2,4))*INDIRECT(ADDRESS(ROW(),COLUMN()-1,4))</f>
        <v>200000</v>
      </c>
    </row>
    <row r="1026" spans="1:6" x14ac:dyDescent="0.3">
      <c r="A1026" s="40" t="s">
        <v>296</v>
      </c>
      <c r="B1026" s="41" t="str">
        <f ca="1">IFERROR(INDEX(UNSPSCDes,MATCH(INDIRECT(ADDRESS(ROW(),COLUMN()-1,4)),UNSPSCCode,0)),IF(INDIRECT(ADDRESS(ROW(),COLUMN()-1,4))="43232801","Software de monitoreo de red",""))</f>
        <v>Software de monitoreo de red</v>
      </c>
      <c r="C1026" s="42" t="str">
        <f>IFERROR(VLOOKUP("UD",'[1]Informacion '!P:Q,2,FALSE),"")</f>
        <v>Unidad</v>
      </c>
      <c r="D1026" s="40">
        <v>1</v>
      </c>
      <c r="E1026" s="43">
        <v>20000</v>
      </c>
      <c r="F1026" s="44">
        <f ca="1">INDIRECT(ADDRESS(ROW(),COLUMN()-2,4))*INDIRECT(ADDRESS(ROW(),COLUMN()-1,4))</f>
        <v>20000</v>
      </c>
    </row>
    <row r="1027" spans="1:6" x14ac:dyDescent="0.3">
      <c r="A1027" s="40" t="s">
        <v>151</v>
      </c>
      <c r="B1027" s="41" t="str">
        <f ca="1">IFERROR(INDEX(UNSPSCDes,MATCH(INDIRECT(ADDRESS(ROW(),COLUMN()-1,4)),UNSPSCCode,0)),IF(INDIRECT(ADDRESS(ROW(),COLUMN()-1,4))="32101622","Memoria flash",""))</f>
        <v>Memoria flash</v>
      </c>
      <c r="C1027" s="42" t="str">
        <f>IFERROR(VLOOKUP("UD",'[1]Informacion '!P:Q,2,FALSE),"")</f>
        <v>Unidad</v>
      </c>
      <c r="D1027" s="40">
        <v>60</v>
      </c>
      <c r="E1027" s="43">
        <v>1200</v>
      </c>
      <c r="F1027" s="44">
        <f ca="1">INDIRECT(ADDRESS(ROW(),COLUMN()-2,4))*INDIRECT(ADDRESS(ROW(),COLUMN()-1,4))</f>
        <v>72000</v>
      </c>
    </row>
    <row r="1028" spans="1:6" x14ac:dyDescent="0.3">
      <c r="A1028" s="30"/>
      <c r="B1028" s="30"/>
      <c r="C1028" s="30"/>
      <c r="D1028" s="30"/>
      <c r="E1028" s="45" t="s">
        <v>52</v>
      </c>
      <c r="F1028" s="46">
        <f ca="1">SUM(Table51[MONTO TOTAL ESTIMADO])</f>
        <v>532000</v>
      </c>
    </row>
    <row r="1029" spans="1:6" ht="15" thickBot="1" x14ac:dyDescent="0.35">
      <c r="A1029" s="30"/>
      <c r="B1029" s="30"/>
      <c r="C1029" s="30"/>
      <c r="D1029" s="30"/>
      <c r="E1029" s="30"/>
      <c r="F1029" s="30"/>
    </row>
    <row r="1030" spans="1:6" ht="21" thickBot="1" x14ac:dyDescent="0.35">
      <c r="A1030" s="31" t="s">
        <v>19</v>
      </c>
      <c r="B1030" s="31" t="s">
        <v>20</v>
      </c>
      <c r="C1030" s="31" t="s">
        <v>21</v>
      </c>
      <c r="D1030" s="31" t="s">
        <v>22</v>
      </c>
      <c r="E1030" s="31" t="s">
        <v>23</v>
      </c>
      <c r="F1030" s="31" t="s">
        <v>24</v>
      </c>
    </row>
    <row r="1031" spans="1:6" ht="21" thickBot="1" x14ac:dyDescent="0.35">
      <c r="A1031" s="12" t="s">
        <v>297</v>
      </c>
      <c r="B1031" s="12" t="s">
        <v>297</v>
      </c>
      <c r="C1031" s="12" t="s">
        <v>27</v>
      </c>
      <c r="D1031" s="12" t="s">
        <v>28</v>
      </c>
      <c r="E1031" s="12" t="s">
        <v>59</v>
      </c>
      <c r="F1031" s="12"/>
    </row>
    <row r="1032" spans="1:6" ht="15" thickBot="1" x14ac:dyDescent="0.35">
      <c r="A1032" s="32" t="s">
        <v>30</v>
      </c>
      <c r="B1032" s="33" t="s">
        <v>31</v>
      </c>
      <c r="C1032" s="34">
        <v>45677</v>
      </c>
      <c r="D1032" s="32" t="s">
        <v>32</v>
      </c>
      <c r="E1032" s="35" t="s">
        <v>33</v>
      </c>
      <c r="F1032" s="36" t="s">
        <v>34</v>
      </c>
    </row>
    <row r="1033" spans="1:6" ht="15" thickBot="1" x14ac:dyDescent="0.35">
      <c r="A1033" s="37"/>
      <c r="B1033" s="33" t="s">
        <v>35</v>
      </c>
      <c r="C1033" s="38">
        <f>IF(C1032="","",IF(AND(MONTH(C1032)&gt;=1,MONTH(C1032)&lt;=3),1,IF(AND(MONTH(C1032)&gt;=4,MONTH(C1032)&lt;=6),2,IF(AND(MONTH(C1032)&gt;=7,MONTH(C1032)&lt;=9),3,4))))</f>
        <v>1</v>
      </c>
      <c r="D1033" s="37"/>
      <c r="E1033" s="35" t="s">
        <v>36</v>
      </c>
      <c r="F1033" s="36" t="s">
        <v>37</v>
      </c>
    </row>
    <row r="1034" spans="1:6" ht="15" thickBot="1" x14ac:dyDescent="0.35">
      <c r="A1034" s="37"/>
      <c r="B1034" s="33" t="s">
        <v>38</v>
      </c>
      <c r="C1034" s="34">
        <v>45684</v>
      </c>
      <c r="D1034" s="37"/>
      <c r="E1034" s="35" t="s">
        <v>39</v>
      </c>
      <c r="F1034" s="36" t="s">
        <v>37</v>
      </c>
    </row>
    <row r="1035" spans="1:6" ht="15" thickBot="1" x14ac:dyDescent="0.35">
      <c r="A1035" s="37"/>
      <c r="B1035" s="33" t="s">
        <v>35</v>
      </c>
      <c r="C1035" s="38">
        <f>IF(C1034="","",IF(AND(MONTH(C1034)&gt;=1,MONTH(C1034)&lt;=3),1,IF(AND(MONTH(C1034)&gt;=4,MONTH(C1034)&lt;=6),2,IF(AND(MONTH(C1034)&gt;=7,MONTH(C1034)&lt;=9),3,4))))</f>
        <v>1</v>
      </c>
      <c r="D1035" s="37"/>
      <c r="E1035" s="35" t="s">
        <v>40</v>
      </c>
      <c r="F1035" s="36"/>
    </row>
    <row r="1036" spans="1:6" ht="15" thickBot="1" x14ac:dyDescent="0.35">
      <c r="A1036" s="30"/>
      <c r="B1036" s="30"/>
      <c r="C1036" s="30"/>
      <c r="D1036" s="30"/>
      <c r="E1036" s="30"/>
      <c r="F1036" s="30"/>
    </row>
    <row r="1037" spans="1:6" ht="15" thickBot="1" x14ac:dyDescent="0.35">
      <c r="A1037" s="39" t="s">
        <v>41</v>
      </c>
      <c r="B1037" s="39" t="s">
        <v>42</v>
      </c>
      <c r="C1037" s="39" t="s">
        <v>43</v>
      </c>
      <c r="D1037" s="39" t="s">
        <v>44</v>
      </c>
      <c r="E1037" s="39" t="s">
        <v>45</v>
      </c>
      <c r="F1037" s="39" t="s">
        <v>46</v>
      </c>
    </row>
    <row r="1038" spans="1:6" x14ac:dyDescent="0.3">
      <c r="A1038" s="40" t="s">
        <v>298</v>
      </c>
      <c r="B1038" s="41" t="str">
        <f ca="1">IFERROR(INDEX(UNSPSCDes,MATCH(INDIRECT(ADDRESS(ROW(),COLUMN()-1,4)),UNSPSCCode,0)),IF(INDIRECT(ADDRESS(ROW(),COLUMN()-1,4))="31201515","Cintas de papel",""))</f>
        <v>Cintas de papel</v>
      </c>
      <c r="C1038" s="42" t="str">
        <f>IFERROR(VLOOKUP("UD",'[1]Informacion '!P:Q,2,FALSE),"")</f>
        <v>Unidad</v>
      </c>
      <c r="D1038" s="40">
        <v>120000</v>
      </c>
      <c r="E1038" s="43">
        <v>4</v>
      </c>
      <c r="F1038" s="44">
        <f ca="1">INDIRECT(ADDRESS(ROW(),COLUMN()-2,4))*INDIRECT(ADDRESS(ROW(),COLUMN()-1,4))</f>
        <v>480000</v>
      </c>
    </row>
    <row r="1039" spans="1:6" x14ac:dyDescent="0.3">
      <c r="A1039" s="40" t="s">
        <v>298</v>
      </c>
      <c r="B1039" s="41" t="str">
        <f ca="1">IFERROR(INDEX(UNSPSCDes,MATCH(INDIRECT(ADDRESS(ROW(),COLUMN()-1,4)),UNSPSCCode,0)),IF(INDIRECT(ADDRESS(ROW(),COLUMN()-1,4))="31201515","Cintas de papel",""))</f>
        <v>Cintas de papel</v>
      </c>
      <c r="C1039" s="42" t="str">
        <f>IFERROR(VLOOKUP("UD",'[1]Informacion '!P:Q,2,FALSE),"")</f>
        <v>Unidad</v>
      </c>
      <c r="D1039" s="40">
        <v>150000</v>
      </c>
      <c r="E1039" s="43">
        <v>4</v>
      </c>
      <c r="F1039" s="44">
        <f ca="1">INDIRECT(ADDRESS(ROW(),COLUMN()-2,4))*INDIRECT(ADDRESS(ROW(),COLUMN()-1,4))</f>
        <v>600000</v>
      </c>
    </row>
    <row r="1040" spans="1:6" x14ac:dyDescent="0.3">
      <c r="A1040" s="40" t="s">
        <v>298</v>
      </c>
      <c r="B1040" s="41" t="str">
        <f ca="1">IFERROR(INDEX(UNSPSCDes,MATCH(INDIRECT(ADDRESS(ROW(),COLUMN()-1,4)),UNSPSCCode,0)),IF(INDIRECT(ADDRESS(ROW(),COLUMN()-1,4))="31201515","Cintas de papel",""))</f>
        <v>Cintas de papel</v>
      </c>
      <c r="C1040" s="42" t="str">
        <f>IFERROR(VLOOKUP("UD",'[1]Informacion '!P:Q,2,FALSE),"")</f>
        <v>Unidad</v>
      </c>
      <c r="D1040" s="40">
        <v>100000</v>
      </c>
      <c r="E1040" s="43">
        <v>4</v>
      </c>
      <c r="F1040" s="44">
        <f ca="1">INDIRECT(ADDRESS(ROW(),COLUMN()-2,4))*INDIRECT(ADDRESS(ROW(),COLUMN()-1,4))</f>
        <v>400000</v>
      </c>
    </row>
    <row r="1041" spans="1:6" x14ac:dyDescent="0.3">
      <c r="A1041" s="40" t="s">
        <v>298</v>
      </c>
      <c r="B1041" s="41" t="str">
        <f ca="1">IFERROR(INDEX(UNSPSCDes,MATCH(INDIRECT(ADDRESS(ROW(),COLUMN()-1,4)),UNSPSCCode,0)),IF(INDIRECT(ADDRESS(ROW(),COLUMN()-1,4))="31201515","Cintas de papel",""))</f>
        <v>Cintas de papel</v>
      </c>
      <c r="C1041" s="42" t="str">
        <f>IFERROR(VLOOKUP("UD",'[1]Informacion '!P:Q,2,FALSE),"")</f>
        <v>Unidad</v>
      </c>
      <c r="D1041" s="40">
        <v>20000</v>
      </c>
      <c r="E1041" s="43">
        <v>4</v>
      </c>
      <c r="F1041" s="44">
        <f ca="1">INDIRECT(ADDRESS(ROW(),COLUMN()-2,4))*INDIRECT(ADDRESS(ROW(),COLUMN()-1,4))</f>
        <v>80000</v>
      </c>
    </row>
    <row r="1042" spans="1:6" x14ac:dyDescent="0.3">
      <c r="A1042" s="30"/>
      <c r="B1042" s="30"/>
      <c r="C1042" s="30"/>
      <c r="D1042" s="30"/>
      <c r="E1042" s="45" t="s">
        <v>52</v>
      </c>
      <c r="F1042" s="46">
        <f ca="1">SUM(Table52[MONTO TOTAL ESTIMADO])</f>
        <v>1560000</v>
      </c>
    </row>
    <row r="1043" spans="1:6" ht="15" thickBot="1" x14ac:dyDescent="0.35">
      <c r="A1043" s="30"/>
      <c r="B1043" s="30"/>
      <c r="C1043" s="30"/>
      <c r="D1043" s="30"/>
      <c r="E1043" s="30"/>
      <c r="F1043" s="30"/>
    </row>
    <row r="1044" spans="1:6" ht="21" thickBot="1" x14ac:dyDescent="0.35">
      <c r="A1044" s="31" t="s">
        <v>19</v>
      </c>
      <c r="B1044" s="31" t="s">
        <v>20</v>
      </c>
      <c r="C1044" s="31" t="s">
        <v>21</v>
      </c>
      <c r="D1044" s="31" t="s">
        <v>22</v>
      </c>
      <c r="E1044" s="31" t="s">
        <v>23</v>
      </c>
      <c r="F1044" s="31" t="s">
        <v>24</v>
      </c>
    </row>
    <row r="1045" spans="1:6" ht="31.2" thickBot="1" x14ac:dyDescent="0.35">
      <c r="A1045" s="12" t="s">
        <v>299</v>
      </c>
      <c r="B1045" s="12" t="s">
        <v>299</v>
      </c>
      <c r="C1045" s="12" t="s">
        <v>143</v>
      </c>
      <c r="D1045" s="12" t="s">
        <v>80</v>
      </c>
      <c r="E1045" s="12" t="s">
        <v>59</v>
      </c>
      <c r="F1045" s="12"/>
    </row>
    <row r="1046" spans="1:6" ht="15" thickBot="1" x14ac:dyDescent="0.35">
      <c r="A1046" s="32" t="s">
        <v>30</v>
      </c>
      <c r="B1046" s="33" t="s">
        <v>31</v>
      </c>
      <c r="C1046" s="34">
        <v>45705</v>
      </c>
      <c r="D1046" s="32" t="s">
        <v>32</v>
      </c>
      <c r="E1046" s="35" t="s">
        <v>33</v>
      </c>
      <c r="F1046" s="36" t="s">
        <v>34</v>
      </c>
    </row>
    <row r="1047" spans="1:6" ht="15" thickBot="1" x14ac:dyDescent="0.35">
      <c r="A1047" s="37"/>
      <c r="B1047" s="33" t="s">
        <v>35</v>
      </c>
      <c r="C1047" s="38">
        <f>IF(C1046="","",IF(AND(MONTH(C1046)&gt;=1,MONTH(C1046)&lt;=3),1,IF(AND(MONTH(C1046)&gt;=4,MONTH(C1046)&lt;=6),2,IF(AND(MONTH(C1046)&gt;=7,MONTH(C1046)&lt;=9),3,4))))</f>
        <v>1</v>
      </c>
      <c r="D1047" s="37"/>
      <c r="E1047" s="35" t="s">
        <v>36</v>
      </c>
      <c r="F1047" s="36" t="s">
        <v>37</v>
      </c>
    </row>
    <row r="1048" spans="1:6" ht="15" thickBot="1" x14ac:dyDescent="0.35">
      <c r="A1048" s="37"/>
      <c r="B1048" s="33" t="s">
        <v>38</v>
      </c>
      <c r="C1048" s="34">
        <v>45709</v>
      </c>
      <c r="D1048" s="37"/>
      <c r="E1048" s="35" t="s">
        <v>39</v>
      </c>
      <c r="F1048" s="36" t="s">
        <v>37</v>
      </c>
    </row>
    <row r="1049" spans="1:6" ht="15" thickBot="1" x14ac:dyDescent="0.35">
      <c r="A1049" s="37"/>
      <c r="B1049" s="33" t="s">
        <v>35</v>
      </c>
      <c r="C1049" s="38">
        <f>IF(C1048="","",IF(AND(MONTH(C1048)&gt;=1,MONTH(C1048)&lt;=3),1,IF(AND(MONTH(C1048)&gt;=4,MONTH(C1048)&lt;=6),2,IF(AND(MONTH(C1048)&gt;=7,MONTH(C1048)&lt;=9),3,4))))</f>
        <v>1</v>
      </c>
      <c r="D1049" s="37"/>
      <c r="E1049" s="35" t="s">
        <v>40</v>
      </c>
      <c r="F1049" s="36"/>
    </row>
    <row r="1050" spans="1:6" ht="15" thickBot="1" x14ac:dyDescent="0.35">
      <c r="A1050" s="30"/>
      <c r="B1050" s="30"/>
      <c r="C1050" s="30"/>
      <c r="D1050" s="30"/>
      <c r="E1050" s="30"/>
      <c r="F1050" s="30"/>
    </row>
    <row r="1051" spans="1:6" ht="15" thickBot="1" x14ac:dyDescent="0.35">
      <c r="A1051" s="39" t="s">
        <v>41</v>
      </c>
      <c r="B1051" s="39" t="s">
        <v>42</v>
      </c>
      <c r="C1051" s="39" t="s">
        <v>43</v>
      </c>
      <c r="D1051" s="39" t="s">
        <v>44</v>
      </c>
      <c r="E1051" s="39" t="s">
        <v>45</v>
      </c>
      <c r="F1051" s="39" t="s">
        <v>46</v>
      </c>
    </row>
    <row r="1052" spans="1:6" ht="20.399999999999999" x14ac:dyDescent="0.3">
      <c r="A1052" s="40" t="s">
        <v>300</v>
      </c>
      <c r="B1052" s="41" t="str">
        <f ca="1">IFERROR(INDEX(UNSPSCDes,MATCH(INDIRECT(ADDRESS(ROW(),COLUMN()-1,4)),UNSPSCCode,0)),IF(INDIRECT(ADDRESS(ROW(),COLUMN()-1,4))="78180110","Servicio de mantenimiento y reparación de Motocicletas",""))</f>
        <v>Servicio de mantenimiento y reparación de Motocicletas</v>
      </c>
      <c r="C1052" s="42" t="str">
        <f>IFERROR(VLOOKUP("UD",'[1]Informacion '!P:Q,2,FALSE),"")</f>
        <v>Unidad</v>
      </c>
      <c r="D1052" s="40">
        <v>1</v>
      </c>
      <c r="E1052" s="43">
        <v>100000</v>
      </c>
      <c r="F1052" s="44">
        <f ca="1">INDIRECT(ADDRESS(ROW(),COLUMN()-2,4))*INDIRECT(ADDRESS(ROW(),COLUMN()-1,4))</f>
        <v>100000</v>
      </c>
    </row>
    <row r="1053" spans="1:6" x14ac:dyDescent="0.3">
      <c r="A1053" s="40" t="s">
        <v>301</v>
      </c>
      <c r="B1053" s="41" t="str">
        <f ca="1">IFERROR(INDEX(UNSPSCDes,MATCH(INDIRECT(ADDRESS(ROW(),COLUMN()-1,4)),UNSPSCCode,0)),IF(INDIRECT(ADDRESS(ROW(),COLUMN()-1,4))="25173817","Cadenas de los engranajes conductores",""))</f>
        <v>Cadenas de los engranajes conductores</v>
      </c>
      <c r="C1053" s="42" t="str">
        <f>IFERROR(VLOOKUP("UD",'[1]Informacion '!P:Q,2,FALSE),"")</f>
        <v>Unidad</v>
      </c>
      <c r="D1053" s="40">
        <v>1</v>
      </c>
      <c r="E1053" s="43">
        <v>100000</v>
      </c>
      <c r="F1053" s="44">
        <f ca="1">INDIRECT(ADDRESS(ROW(),COLUMN()-2,4))*INDIRECT(ADDRESS(ROW(),COLUMN()-1,4))</f>
        <v>100000</v>
      </c>
    </row>
    <row r="1054" spans="1:6" x14ac:dyDescent="0.3">
      <c r="A1054" s="30"/>
      <c r="B1054" s="30"/>
      <c r="C1054" s="30"/>
      <c r="D1054" s="30"/>
      <c r="E1054" s="45" t="s">
        <v>52</v>
      </c>
      <c r="F1054" s="46">
        <f ca="1">SUM(Table53[MONTO TOTAL ESTIMADO])</f>
        <v>200000</v>
      </c>
    </row>
    <row r="1055" spans="1:6" ht="15" thickBot="1" x14ac:dyDescent="0.35">
      <c r="A1055" s="30"/>
      <c r="B1055" s="30"/>
      <c r="C1055" s="30"/>
      <c r="D1055" s="30"/>
      <c r="E1055" s="30"/>
      <c r="F1055" s="30"/>
    </row>
    <row r="1056" spans="1:6" ht="21" thickBot="1" x14ac:dyDescent="0.35">
      <c r="A1056" s="31" t="s">
        <v>19</v>
      </c>
      <c r="B1056" s="31" t="s">
        <v>20</v>
      </c>
      <c r="C1056" s="31" t="s">
        <v>21</v>
      </c>
      <c r="D1056" s="31" t="s">
        <v>22</v>
      </c>
      <c r="E1056" s="31" t="s">
        <v>23</v>
      </c>
      <c r="F1056" s="31" t="s">
        <v>24</v>
      </c>
    </row>
    <row r="1057" spans="1:6" ht="21" thickBot="1" x14ac:dyDescent="0.35">
      <c r="A1057" s="12" t="s">
        <v>302</v>
      </c>
      <c r="B1057" s="12" t="s">
        <v>302</v>
      </c>
      <c r="C1057" s="12" t="s">
        <v>27</v>
      </c>
      <c r="D1057" s="12" t="s">
        <v>28</v>
      </c>
      <c r="E1057" s="12" t="s">
        <v>59</v>
      </c>
      <c r="F1057" s="12"/>
    </row>
    <row r="1058" spans="1:6" ht="15" thickBot="1" x14ac:dyDescent="0.35">
      <c r="A1058" s="32" t="s">
        <v>30</v>
      </c>
      <c r="B1058" s="33" t="s">
        <v>31</v>
      </c>
      <c r="C1058" s="34">
        <v>45852</v>
      </c>
      <c r="D1058" s="32" t="s">
        <v>32</v>
      </c>
      <c r="E1058" s="35" t="s">
        <v>33</v>
      </c>
      <c r="F1058" s="36" t="s">
        <v>34</v>
      </c>
    </row>
    <row r="1059" spans="1:6" ht="15" thickBot="1" x14ac:dyDescent="0.35">
      <c r="A1059" s="37"/>
      <c r="B1059" s="33" t="s">
        <v>35</v>
      </c>
      <c r="C1059" s="38">
        <f>IF(C1058="","",IF(AND(MONTH(C1058)&gt;=1,MONTH(C1058)&lt;=3),1,IF(AND(MONTH(C1058)&gt;=4,MONTH(C1058)&lt;=6),2,IF(AND(MONTH(C1058)&gt;=7,MONTH(C1058)&lt;=9),3,4))))</f>
        <v>3</v>
      </c>
      <c r="D1059" s="37"/>
      <c r="E1059" s="35" t="s">
        <v>36</v>
      </c>
      <c r="F1059" s="36" t="s">
        <v>37</v>
      </c>
    </row>
    <row r="1060" spans="1:6" ht="15" thickBot="1" x14ac:dyDescent="0.35">
      <c r="A1060" s="37"/>
      <c r="B1060" s="33" t="s">
        <v>38</v>
      </c>
      <c r="C1060" s="34">
        <v>45856</v>
      </c>
      <c r="D1060" s="37"/>
      <c r="E1060" s="35" t="s">
        <v>39</v>
      </c>
      <c r="F1060" s="36" t="s">
        <v>37</v>
      </c>
    </row>
    <row r="1061" spans="1:6" ht="15" thickBot="1" x14ac:dyDescent="0.35">
      <c r="A1061" s="37"/>
      <c r="B1061" s="33" t="s">
        <v>35</v>
      </c>
      <c r="C1061" s="38">
        <f>IF(C1060="","",IF(AND(MONTH(C1060)&gt;=1,MONTH(C1060)&lt;=3),1,IF(AND(MONTH(C1060)&gt;=4,MONTH(C1060)&lt;=6),2,IF(AND(MONTH(C1060)&gt;=7,MONTH(C1060)&lt;=9),3,4))))</f>
        <v>3</v>
      </c>
      <c r="D1061" s="37"/>
      <c r="E1061" s="35" t="s">
        <v>40</v>
      </c>
      <c r="F1061" s="36"/>
    </row>
    <row r="1062" spans="1:6" ht="15" thickBot="1" x14ac:dyDescent="0.35">
      <c r="A1062" s="30"/>
      <c r="B1062" s="30"/>
      <c r="C1062" s="30"/>
      <c r="D1062" s="30"/>
      <c r="E1062" s="30"/>
      <c r="F1062" s="30"/>
    </row>
    <row r="1063" spans="1:6" ht="15" thickBot="1" x14ac:dyDescent="0.35">
      <c r="A1063" s="39" t="s">
        <v>41</v>
      </c>
      <c r="B1063" s="39" t="s">
        <v>42</v>
      </c>
      <c r="C1063" s="39" t="s">
        <v>43</v>
      </c>
      <c r="D1063" s="39" t="s">
        <v>44</v>
      </c>
      <c r="E1063" s="39" t="s">
        <v>45</v>
      </c>
      <c r="F1063" s="39" t="s">
        <v>46</v>
      </c>
    </row>
    <row r="1064" spans="1:6" x14ac:dyDescent="0.3">
      <c r="A1064" s="40" t="s">
        <v>47</v>
      </c>
      <c r="B1064" s="41" t="str">
        <f ca="1">IFERROR(INDEX(UNSPSCDes,MATCH(INDIRECT(ADDRESS(ROW(),COLUMN()-1,4)),UNSPSCCode,0)),IF(INDIRECT(ADDRESS(ROW(),COLUMN()-1,4))="50101538","Verduras frescas",""))</f>
        <v>Verduras frescas</v>
      </c>
      <c r="C1064" s="42" t="str">
        <f>IFERROR(VLOOKUP("LB",'[1]Informacion '!P:Q,2,FALSE),"")</f>
        <v>Libra </v>
      </c>
      <c r="D1064" s="40">
        <v>2800</v>
      </c>
      <c r="E1064" s="43">
        <v>25</v>
      </c>
      <c r="F1064" s="44">
        <f t="shared" ref="F1064:F1104" ca="1" si="33">INDIRECT(ADDRESS(ROW(),COLUMN()-2,4))*INDIRECT(ADDRESS(ROW(),COLUMN()-1,4))</f>
        <v>70000</v>
      </c>
    </row>
    <row r="1065" spans="1:6" x14ac:dyDescent="0.3">
      <c r="A1065" s="40" t="s">
        <v>47</v>
      </c>
      <c r="B1065" s="41" t="str">
        <f ca="1">IFERROR(INDEX(UNSPSCDes,MATCH(INDIRECT(ADDRESS(ROW(),COLUMN()-1,4)),UNSPSCCode,0)),IF(INDIRECT(ADDRESS(ROW(),COLUMN()-1,4))="50101538","Verduras frescas",""))</f>
        <v>Verduras frescas</v>
      </c>
      <c r="C1065" s="42" t="str">
        <f>IFERROR(VLOOKUP("LB",'[1]Informacion '!P:Q,2,FALSE),"")</f>
        <v>Libra </v>
      </c>
      <c r="D1065" s="40">
        <v>700</v>
      </c>
      <c r="E1065" s="43">
        <v>35</v>
      </c>
      <c r="F1065" s="44">
        <f t="shared" ca="1" si="33"/>
        <v>24500</v>
      </c>
    </row>
    <row r="1066" spans="1:6" x14ac:dyDescent="0.3">
      <c r="A1066" s="40" t="s">
        <v>47</v>
      </c>
      <c r="B1066" s="41" t="str">
        <f ca="1">IFERROR(INDEX(UNSPSCDes,MATCH(INDIRECT(ADDRESS(ROW(),COLUMN()-1,4)),UNSPSCCode,0)),IF(INDIRECT(ADDRESS(ROW(),COLUMN()-1,4))="50101538","Verduras frescas",""))</f>
        <v>Verduras frescas</v>
      </c>
      <c r="C1066" s="42" t="str">
        <f>IFERROR(VLOOKUP("LB",'[1]Informacion '!P:Q,2,FALSE),"")</f>
        <v>Libra </v>
      </c>
      <c r="D1066" s="40">
        <v>970</v>
      </c>
      <c r="E1066" s="43">
        <v>40</v>
      </c>
      <c r="F1066" s="44">
        <f t="shared" ca="1" si="33"/>
        <v>38800</v>
      </c>
    </row>
    <row r="1067" spans="1:6" x14ac:dyDescent="0.3">
      <c r="A1067" s="40" t="s">
        <v>47</v>
      </c>
      <c r="B1067" s="41" t="str">
        <f ca="1">IFERROR(INDEX(UNSPSCDes,MATCH(INDIRECT(ADDRESS(ROW(),COLUMN()-1,4)),UNSPSCCode,0)),IF(INDIRECT(ADDRESS(ROW(),COLUMN()-1,4))="50101538","Verduras frescas",""))</f>
        <v>Verduras frescas</v>
      </c>
      <c r="C1067" s="42" t="str">
        <f>IFERROR(VLOOKUP("LB",'[1]Informacion '!P:Q,2,FALSE),"")</f>
        <v>Libra </v>
      </c>
      <c r="D1067" s="40">
        <v>1800</v>
      </c>
      <c r="E1067" s="43">
        <v>35</v>
      </c>
      <c r="F1067" s="44">
        <f t="shared" ca="1" si="33"/>
        <v>63000</v>
      </c>
    </row>
    <row r="1068" spans="1:6" x14ac:dyDescent="0.3">
      <c r="A1068" s="40" t="s">
        <v>48</v>
      </c>
      <c r="B1068" s="41" t="str">
        <f ca="1">IFERROR(INDEX(UNSPSCDes,MATCH(INDIRECT(ADDRESS(ROW(),COLUMN()-1,4)),UNSPSCCode,0)),IF(INDIRECT(ADDRESS(ROW(),COLUMN()-1,4))="50101634","Fruta fresca",""))</f>
        <v>Fruta fresca</v>
      </c>
      <c r="C1068" s="42" t="str">
        <f>IFERROR(VLOOKUP("LB",'[1]Informacion '!P:Q,2,FALSE),"")</f>
        <v>Libra </v>
      </c>
      <c r="D1068" s="40">
        <v>2200</v>
      </c>
      <c r="E1068" s="43">
        <v>15</v>
      </c>
      <c r="F1068" s="44">
        <f t="shared" ca="1" si="33"/>
        <v>33000</v>
      </c>
    </row>
    <row r="1069" spans="1:6" x14ac:dyDescent="0.3">
      <c r="A1069" s="40" t="s">
        <v>49</v>
      </c>
      <c r="B1069" s="41" t="str">
        <f ca="1">IFERROR(INDEX(UNSPSCDes,MATCH(INDIRECT(ADDRESS(ROW(),COLUMN()-1,4)),UNSPSCCode,0)),IF(INDIRECT(ADDRESS(ROW(),COLUMN()-1,4))="50101540","Verduras estables sin refrigerar",""))</f>
        <v>Verduras estables sin refrigerar</v>
      </c>
      <c r="C1069" s="42" t="str">
        <f>IFERROR(VLOOKUP("LB",'[1]Informacion '!P:Q,2,FALSE),"")</f>
        <v>Libra </v>
      </c>
      <c r="D1069" s="40">
        <v>112</v>
      </c>
      <c r="E1069" s="43">
        <v>30</v>
      </c>
      <c r="F1069" s="44">
        <f t="shared" ca="1" si="33"/>
        <v>3360</v>
      </c>
    </row>
    <row r="1070" spans="1:6" x14ac:dyDescent="0.3">
      <c r="A1070" s="40" t="s">
        <v>49</v>
      </c>
      <c r="B1070" s="41" t="str">
        <f ca="1">IFERROR(INDEX(UNSPSCDes,MATCH(INDIRECT(ADDRESS(ROW(),COLUMN()-1,4)),UNSPSCCode,0)),IF(INDIRECT(ADDRESS(ROW(),COLUMN()-1,4))="50101540","Verduras estables sin refrigerar",""))</f>
        <v>Verduras estables sin refrigerar</v>
      </c>
      <c r="C1070" s="42" t="str">
        <f>IFERROR(VLOOKUP("LB",'[1]Informacion '!P:Q,2,FALSE),"")</f>
        <v>Libra </v>
      </c>
      <c r="D1070" s="40">
        <v>1500</v>
      </c>
      <c r="E1070" s="43">
        <v>20</v>
      </c>
      <c r="F1070" s="44">
        <f t="shared" ca="1" si="33"/>
        <v>30000</v>
      </c>
    </row>
    <row r="1071" spans="1:6" x14ac:dyDescent="0.3">
      <c r="A1071" s="40" t="s">
        <v>48</v>
      </c>
      <c r="B1071" s="41" t="str">
        <f ca="1">IFERROR(INDEX(UNSPSCDes,MATCH(INDIRECT(ADDRESS(ROW(),COLUMN()-1,4)),UNSPSCCode,0)),IF(INDIRECT(ADDRESS(ROW(),COLUMN()-1,4))="50101634","Fruta fresca",""))</f>
        <v>Fruta fresca</v>
      </c>
      <c r="C1071" s="42" t="str">
        <f>IFERROR(VLOOKUP("LB",'[1]Informacion '!P:Q,2,FALSE),"")</f>
        <v>Libra </v>
      </c>
      <c r="D1071" s="40">
        <v>500</v>
      </c>
      <c r="E1071" s="43">
        <v>750</v>
      </c>
      <c r="F1071" s="44">
        <f t="shared" ca="1" si="33"/>
        <v>375000</v>
      </c>
    </row>
    <row r="1072" spans="1:6" x14ac:dyDescent="0.3">
      <c r="A1072" s="40" t="s">
        <v>49</v>
      </c>
      <c r="B1072" s="41" t="str">
        <f ca="1">IFERROR(INDEX(UNSPSCDes,MATCH(INDIRECT(ADDRESS(ROW(),COLUMN()-1,4)),UNSPSCCode,0)),IF(INDIRECT(ADDRESS(ROW(),COLUMN()-1,4))="50101540","Verduras estables sin refrigerar",""))</f>
        <v>Verduras estables sin refrigerar</v>
      </c>
      <c r="C1072" s="42" t="str">
        <f>IFERROR(VLOOKUP("LB",'[1]Informacion '!P:Q,2,FALSE),"")</f>
        <v>Libra </v>
      </c>
      <c r="D1072" s="40">
        <v>1500</v>
      </c>
      <c r="E1072" s="43">
        <v>20</v>
      </c>
      <c r="F1072" s="44">
        <f t="shared" ca="1" si="33"/>
        <v>30000</v>
      </c>
    </row>
    <row r="1073" spans="1:6" x14ac:dyDescent="0.3">
      <c r="A1073" s="40" t="s">
        <v>48</v>
      </c>
      <c r="B1073" s="41" t="str">
        <f ca="1">IFERROR(INDEX(UNSPSCDes,MATCH(INDIRECT(ADDRESS(ROW(),COLUMN()-1,4)),UNSPSCCode,0)),IF(INDIRECT(ADDRESS(ROW(),COLUMN()-1,4))="50101634","Fruta fresca",""))</f>
        <v>Fruta fresca</v>
      </c>
      <c r="C1073" s="42" t="str">
        <f>IFERROR(VLOOKUP("LB",'[1]Informacion '!P:Q,2,FALSE),"")</f>
        <v>Libra </v>
      </c>
      <c r="D1073" s="40">
        <v>2080</v>
      </c>
      <c r="E1073" s="43">
        <v>12</v>
      </c>
      <c r="F1073" s="44">
        <f t="shared" ca="1" si="33"/>
        <v>24960</v>
      </c>
    </row>
    <row r="1074" spans="1:6" x14ac:dyDescent="0.3">
      <c r="A1074" s="40" t="s">
        <v>48</v>
      </c>
      <c r="B1074" s="41" t="str">
        <f ca="1">IFERROR(INDEX(UNSPSCDes,MATCH(INDIRECT(ADDRESS(ROW(),COLUMN()-1,4)),UNSPSCCode,0)),IF(INDIRECT(ADDRESS(ROW(),COLUMN()-1,4))="50101634","Fruta fresca",""))</f>
        <v>Fruta fresca</v>
      </c>
      <c r="C1074" s="42" t="str">
        <f>IFERROR(VLOOKUP("LB",'[1]Informacion '!P:Q,2,FALSE),"")</f>
        <v>Libra </v>
      </c>
      <c r="D1074" s="40">
        <v>1224</v>
      </c>
      <c r="E1074" s="43">
        <v>50</v>
      </c>
      <c r="F1074" s="44">
        <f t="shared" ca="1" si="33"/>
        <v>61200</v>
      </c>
    </row>
    <row r="1075" spans="1:6" x14ac:dyDescent="0.3">
      <c r="A1075" s="40" t="s">
        <v>47</v>
      </c>
      <c r="B1075" s="41" t="str">
        <f ca="1">IFERROR(INDEX(UNSPSCDes,MATCH(INDIRECT(ADDRESS(ROW(),COLUMN()-1,4)),UNSPSCCode,0)),IF(INDIRECT(ADDRESS(ROW(),COLUMN()-1,4))="50101538","Verduras frescas",""))</f>
        <v>Verduras frescas</v>
      </c>
      <c r="C1075" s="42" t="str">
        <f>IFERROR(VLOOKUP("LB",'[1]Informacion '!P:Q,2,FALSE),"")</f>
        <v>Libra </v>
      </c>
      <c r="D1075" s="40">
        <v>374</v>
      </c>
      <c r="E1075" s="43">
        <v>35</v>
      </c>
      <c r="F1075" s="44">
        <f t="shared" ca="1" si="33"/>
        <v>13090</v>
      </c>
    </row>
    <row r="1076" spans="1:6" x14ac:dyDescent="0.3">
      <c r="A1076" s="40" t="s">
        <v>47</v>
      </c>
      <c r="B1076" s="41" t="str">
        <f ca="1">IFERROR(INDEX(UNSPSCDes,MATCH(INDIRECT(ADDRESS(ROW(),COLUMN()-1,4)),UNSPSCCode,0)),IF(INDIRECT(ADDRESS(ROW(),COLUMN()-1,4))="50101538","Verduras frescas",""))</f>
        <v>Verduras frescas</v>
      </c>
      <c r="C1076" s="42" t="str">
        <f>IFERROR(VLOOKUP("LB",'[1]Informacion '!P:Q,2,FALSE),"")</f>
        <v>Libra </v>
      </c>
      <c r="D1076" s="40">
        <v>692</v>
      </c>
      <c r="E1076" s="43">
        <v>40</v>
      </c>
      <c r="F1076" s="44">
        <f t="shared" ca="1" si="33"/>
        <v>27680</v>
      </c>
    </row>
    <row r="1077" spans="1:6" x14ac:dyDescent="0.3">
      <c r="A1077" s="40" t="s">
        <v>49</v>
      </c>
      <c r="B1077" s="41" t="str">
        <f ca="1">IFERROR(INDEX(UNSPSCDes,MATCH(INDIRECT(ADDRESS(ROW(),COLUMN()-1,4)),UNSPSCCode,0)),IF(INDIRECT(ADDRESS(ROW(),COLUMN()-1,4))="50101540","Verduras estables sin refrigerar",""))</f>
        <v>Verduras estables sin refrigerar</v>
      </c>
      <c r="C1077" s="42" t="str">
        <f>IFERROR(VLOOKUP("LB",'[1]Informacion '!P:Q,2,FALSE),"")</f>
        <v>Libra </v>
      </c>
      <c r="D1077" s="40">
        <v>1490</v>
      </c>
      <c r="E1077" s="43">
        <v>35</v>
      </c>
      <c r="F1077" s="44">
        <f t="shared" ca="1" si="33"/>
        <v>52150</v>
      </c>
    </row>
    <row r="1078" spans="1:6" x14ac:dyDescent="0.3">
      <c r="A1078" s="40" t="s">
        <v>47</v>
      </c>
      <c r="B1078" s="41" t="str">
        <f ca="1">IFERROR(INDEX(UNSPSCDes,MATCH(INDIRECT(ADDRESS(ROW(),COLUMN()-1,4)),UNSPSCCode,0)),IF(INDIRECT(ADDRESS(ROW(),COLUMN()-1,4))="50101538","Verduras frescas",""))</f>
        <v>Verduras frescas</v>
      </c>
      <c r="C1078" s="42" t="str">
        <f>IFERROR(VLOOKUP("PAQ",'[1]Informacion '!P:Q,2,FALSE),"")</f>
        <v>Paquete</v>
      </c>
      <c r="D1078" s="40">
        <v>374</v>
      </c>
      <c r="E1078" s="43">
        <v>60</v>
      </c>
      <c r="F1078" s="44">
        <f t="shared" ca="1" si="33"/>
        <v>22440</v>
      </c>
    </row>
    <row r="1079" spans="1:6" x14ac:dyDescent="0.3">
      <c r="A1079" s="40" t="s">
        <v>48</v>
      </c>
      <c r="B1079" s="41" t="str">
        <f ca="1">IFERROR(INDEX(UNSPSCDes,MATCH(INDIRECT(ADDRESS(ROW(),COLUMN()-1,4)),UNSPSCCode,0)),IF(INDIRECT(ADDRESS(ROW(),COLUMN()-1,4))="50101634","Fruta fresca",""))</f>
        <v>Fruta fresca</v>
      </c>
      <c r="C1079" s="42" t="str">
        <f>IFERROR(VLOOKUP("LB",'[1]Informacion '!P:Q,2,FALSE),"")</f>
        <v>Libra </v>
      </c>
      <c r="D1079" s="40">
        <v>2200</v>
      </c>
      <c r="E1079" s="43">
        <v>24</v>
      </c>
      <c r="F1079" s="44">
        <f t="shared" ca="1" si="33"/>
        <v>52800</v>
      </c>
    </row>
    <row r="1080" spans="1:6" x14ac:dyDescent="0.3">
      <c r="A1080" s="40" t="s">
        <v>47</v>
      </c>
      <c r="B1080" s="41" t="str">
        <f ca="1">IFERROR(INDEX(UNSPSCDes,MATCH(INDIRECT(ADDRESS(ROW(),COLUMN()-1,4)),UNSPSCCode,0)),IF(INDIRECT(ADDRESS(ROW(),COLUMN()-1,4))="50101538","Verduras frescas",""))</f>
        <v>Verduras frescas</v>
      </c>
      <c r="C1080" s="42" t="str">
        <f>IFERROR(VLOOKUP("LB",'[1]Informacion '!P:Q,2,FALSE),"")</f>
        <v>Libra </v>
      </c>
      <c r="D1080" s="40">
        <v>3000</v>
      </c>
      <c r="E1080" s="43">
        <v>30</v>
      </c>
      <c r="F1080" s="44">
        <f t="shared" ca="1" si="33"/>
        <v>90000</v>
      </c>
    </row>
    <row r="1081" spans="1:6" x14ac:dyDescent="0.3">
      <c r="A1081" s="40" t="s">
        <v>48</v>
      </c>
      <c r="B1081" s="41" t="str">
        <f ca="1">IFERROR(INDEX(UNSPSCDes,MATCH(INDIRECT(ADDRESS(ROW(),COLUMN()-1,4)),UNSPSCCode,0)),IF(INDIRECT(ADDRESS(ROW(),COLUMN()-1,4))="50101634","Fruta fresca",""))</f>
        <v>Fruta fresca</v>
      </c>
      <c r="C1081" s="42" t="str">
        <f>IFERROR(VLOOKUP("LB",'[1]Informacion '!P:Q,2,FALSE),"")</f>
        <v>Libra </v>
      </c>
      <c r="D1081" s="40">
        <v>1400</v>
      </c>
      <c r="E1081" s="43">
        <v>65</v>
      </c>
      <c r="F1081" s="44">
        <f t="shared" ca="1" si="33"/>
        <v>91000</v>
      </c>
    </row>
    <row r="1082" spans="1:6" x14ac:dyDescent="0.3">
      <c r="A1082" s="40" t="s">
        <v>47</v>
      </c>
      <c r="B1082" s="41" t="str">
        <f ca="1">IFERROR(INDEX(UNSPSCDes,MATCH(INDIRECT(ADDRESS(ROW(),COLUMN()-1,4)),UNSPSCCode,0)),IF(INDIRECT(ADDRESS(ROW(),COLUMN()-1,4))="50101538","Verduras frescas",""))</f>
        <v>Verduras frescas</v>
      </c>
      <c r="C1082" s="42" t="str">
        <f>IFERROR(VLOOKUP("UD",'[1]Informacion '!P:Q,2,FALSE),"")</f>
        <v>Unidad</v>
      </c>
      <c r="D1082" s="40">
        <v>10000</v>
      </c>
      <c r="E1082" s="43">
        <v>10</v>
      </c>
      <c r="F1082" s="44">
        <f t="shared" ca="1" si="33"/>
        <v>100000</v>
      </c>
    </row>
    <row r="1083" spans="1:6" x14ac:dyDescent="0.3">
      <c r="A1083" s="40" t="s">
        <v>50</v>
      </c>
      <c r="B1083" s="41" t="str">
        <f ca="1">IFERROR(INDEX(UNSPSCDes,MATCH(INDIRECT(ADDRESS(ROW(),COLUMN()-1,4)),UNSPSCCode,0)),IF(INDIRECT(ADDRESS(ROW(),COLUMN()-1,4))="50131606","Huevos frescos",""))</f>
        <v>Huevos frescos</v>
      </c>
      <c r="C1083" s="42" t="str">
        <f>IFERROR(VLOOKUP("UD",'[1]Informacion '!P:Q,2,FALSE),"")</f>
        <v>Unidad</v>
      </c>
      <c r="D1083" s="40">
        <v>140</v>
      </c>
      <c r="E1083" s="43">
        <v>200</v>
      </c>
      <c r="F1083" s="44">
        <f t="shared" ca="1" si="33"/>
        <v>28000</v>
      </c>
    </row>
    <row r="1084" spans="1:6" x14ac:dyDescent="0.3">
      <c r="A1084" s="40" t="s">
        <v>49</v>
      </c>
      <c r="B1084" s="41" t="str">
        <f ca="1">IFERROR(INDEX(UNSPSCDes,MATCH(INDIRECT(ADDRESS(ROW(),COLUMN()-1,4)),UNSPSCCode,0)),IF(INDIRECT(ADDRESS(ROW(),COLUMN()-1,4))="50101540","Verduras estables sin refrigerar",""))</f>
        <v>Verduras estables sin refrigerar</v>
      </c>
      <c r="C1084" s="42" t="str">
        <f>IFERROR(VLOOKUP("LB",'[1]Informacion '!P:Q,2,FALSE),"")</f>
        <v>Libra </v>
      </c>
      <c r="D1084" s="40">
        <v>400</v>
      </c>
      <c r="E1084" s="43">
        <v>10</v>
      </c>
      <c r="F1084" s="44">
        <f t="shared" ca="1" si="33"/>
        <v>4000</v>
      </c>
    </row>
    <row r="1085" spans="1:6" x14ac:dyDescent="0.3">
      <c r="A1085" s="40" t="s">
        <v>49</v>
      </c>
      <c r="B1085" s="41" t="str">
        <f ca="1">IFERROR(INDEX(UNSPSCDes,MATCH(INDIRECT(ADDRESS(ROW(),COLUMN()-1,4)),UNSPSCCode,0)),IF(INDIRECT(ADDRESS(ROW(),COLUMN()-1,4))="50101540","Verduras estables sin refrigerar",""))</f>
        <v>Verduras estables sin refrigerar</v>
      </c>
      <c r="C1085" s="42" t="str">
        <f>IFERROR(VLOOKUP("LB",'[1]Informacion '!P:Q,2,FALSE),"")</f>
        <v>Libra </v>
      </c>
      <c r="D1085" s="40">
        <v>10000</v>
      </c>
      <c r="E1085" s="43">
        <v>25</v>
      </c>
      <c r="F1085" s="44">
        <f t="shared" ca="1" si="33"/>
        <v>250000</v>
      </c>
    </row>
    <row r="1086" spans="1:6" x14ac:dyDescent="0.3">
      <c r="A1086" s="40" t="s">
        <v>47</v>
      </c>
      <c r="B1086" s="41" t="str">
        <f ca="1">IFERROR(INDEX(UNSPSCDes,MATCH(INDIRECT(ADDRESS(ROW(),COLUMN()-1,4)),UNSPSCCode,0)),IF(INDIRECT(ADDRESS(ROW(),COLUMN()-1,4))="50101538","Verduras frescas",""))</f>
        <v>Verduras frescas</v>
      </c>
      <c r="C1086" s="42" t="str">
        <f>IFERROR(VLOOKUP("LB",'[1]Informacion '!P:Q,2,FALSE),"")</f>
        <v>Libra </v>
      </c>
      <c r="D1086" s="40">
        <v>450</v>
      </c>
      <c r="E1086" s="43">
        <v>35</v>
      </c>
      <c r="F1086" s="44">
        <f t="shared" ca="1" si="33"/>
        <v>15750</v>
      </c>
    </row>
    <row r="1087" spans="1:6" x14ac:dyDescent="0.3">
      <c r="A1087" s="40" t="s">
        <v>48</v>
      </c>
      <c r="B1087" s="41" t="str">
        <f ca="1">IFERROR(INDEX(UNSPSCDes,MATCH(INDIRECT(ADDRESS(ROW(),COLUMN()-1,4)),UNSPSCCode,0)),IF(INDIRECT(ADDRESS(ROW(),COLUMN()-1,4))="50101634","Fruta fresca",""))</f>
        <v>Fruta fresca</v>
      </c>
      <c r="C1087" s="42" t="str">
        <f>IFERROR(VLOOKUP("LB",'[1]Informacion '!P:Q,2,FALSE),"")</f>
        <v>Libra </v>
      </c>
      <c r="D1087" s="40">
        <v>500</v>
      </c>
      <c r="E1087" s="43">
        <v>40</v>
      </c>
      <c r="F1087" s="44">
        <f t="shared" ca="1" si="33"/>
        <v>20000</v>
      </c>
    </row>
    <row r="1088" spans="1:6" x14ac:dyDescent="0.3">
      <c r="A1088" s="40" t="s">
        <v>48</v>
      </c>
      <c r="B1088" s="41" t="str">
        <f ca="1">IFERROR(INDEX(UNSPSCDes,MATCH(INDIRECT(ADDRESS(ROW(),COLUMN()-1,4)),UNSPSCCode,0)),IF(INDIRECT(ADDRESS(ROW(),COLUMN()-1,4))="50101634","Fruta fresca",""))</f>
        <v>Fruta fresca</v>
      </c>
      <c r="C1088" s="42" t="str">
        <f>IFERROR(VLOOKUP("CAJ",'[1]Informacion '!P:Q,2,FALSE),"")</f>
        <v>Caja</v>
      </c>
      <c r="D1088" s="40">
        <v>14</v>
      </c>
      <c r="E1088" s="43">
        <v>2300</v>
      </c>
      <c r="F1088" s="44">
        <f t="shared" ca="1" si="33"/>
        <v>32200</v>
      </c>
    </row>
    <row r="1089" spans="1:6" x14ac:dyDescent="0.3">
      <c r="A1089" s="40" t="s">
        <v>47</v>
      </c>
      <c r="B1089" s="41" t="str">
        <f ca="1">IFERROR(INDEX(UNSPSCDes,MATCH(INDIRECT(ADDRESS(ROW(),COLUMN()-1,4)),UNSPSCCode,0)),IF(INDIRECT(ADDRESS(ROW(),COLUMN()-1,4))="50101538","Verduras frescas",""))</f>
        <v>Verduras frescas</v>
      </c>
      <c r="C1089" s="42" t="str">
        <f>IFERROR(VLOOKUP("LB",'[1]Informacion '!P:Q,2,FALSE),"")</f>
        <v>Libra </v>
      </c>
      <c r="D1089" s="40">
        <v>300</v>
      </c>
      <c r="E1089" s="43">
        <v>25</v>
      </c>
      <c r="F1089" s="44">
        <f t="shared" ca="1" si="33"/>
        <v>7500</v>
      </c>
    </row>
    <row r="1090" spans="1:6" x14ac:dyDescent="0.3">
      <c r="A1090" s="40" t="s">
        <v>48</v>
      </c>
      <c r="B1090" s="41" t="str">
        <f ca="1">IFERROR(INDEX(UNSPSCDes,MATCH(INDIRECT(ADDRESS(ROW(),COLUMN()-1,4)),UNSPSCCode,0)),IF(INDIRECT(ADDRESS(ROW(),COLUMN()-1,4))="50101634","Fruta fresca",""))</f>
        <v>Fruta fresca</v>
      </c>
      <c r="C1090" s="42" t="str">
        <f>IFERROR(VLOOKUP("LB",'[1]Informacion '!P:Q,2,FALSE),"")</f>
        <v>Libra </v>
      </c>
      <c r="D1090" s="40">
        <v>500</v>
      </c>
      <c r="E1090" s="43">
        <v>30</v>
      </c>
      <c r="F1090" s="44">
        <f t="shared" ca="1" si="33"/>
        <v>15000</v>
      </c>
    </row>
    <row r="1091" spans="1:6" x14ac:dyDescent="0.3">
      <c r="A1091" s="40" t="s">
        <v>47</v>
      </c>
      <c r="B1091" s="41" t="str">
        <f t="shared" ref="B1091:B1097" ca="1" si="34">IFERROR(INDEX(UNSPSCDes,MATCH(INDIRECT(ADDRESS(ROW(),COLUMN()-1,4)),UNSPSCCode,0)),IF(INDIRECT(ADDRESS(ROW(),COLUMN()-1,4))="50101538","Verduras frescas",""))</f>
        <v>Verduras frescas</v>
      </c>
      <c r="C1091" s="42" t="str">
        <f>IFERROR(VLOOKUP("LB",'[1]Informacion '!P:Q,2,FALSE),"")</f>
        <v>Libra </v>
      </c>
      <c r="D1091" s="40">
        <v>80</v>
      </c>
      <c r="E1091" s="43">
        <v>80</v>
      </c>
      <c r="F1091" s="44">
        <f t="shared" ca="1" si="33"/>
        <v>6400</v>
      </c>
    </row>
    <row r="1092" spans="1:6" x14ac:dyDescent="0.3">
      <c r="A1092" s="40" t="s">
        <v>47</v>
      </c>
      <c r="B1092" s="41" t="str">
        <f t="shared" ca="1" si="34"/>
        <v>Verduras frescas</v>
      </c>
      <c r="C1092" s="42" t="str">
        <f>IFERROR(VLOOKUP("LB",'[1]Informacion '!P:Q,2,FALSE),"")</f>
        <v>Libra </v>
      </c>
      <c r="D1092" s="40">
        <v>80</v>
      </c>
      <c r="E1092" s="43">
        <v>50</v>
      </c>
      <c r="F1092" s="44">
        <f t="shared" ca="1" si="33"/>
        <v>4000</v>
      </c>
    </row>
    <row r="1093" spans="1:6" x14ac:dyDescent="0.3">
      <c r="A1093" s="40" t="s">
        <v>47</v>
      </c>
      <c r="B1093" s="41" t="str">
        <f t="shared" ca="1" si="34"/>
        <v>Verduras frescas</v>
      </c>
      <c r="C1093" s="42" t="str">
        <f>IFERROR(VLOOKUP("LB",'[1]Informacion '!P:Q,2,FALSE),"")</f>
        <v>Libra </v>
      </c>
      <c r="D1093" s="40">
        <v>60</v>
      </c>
      <c r="E1093" s="43">
        <v>150</v>
      </c>
      <c r="F1093" s="44">
        <f t="shared" ca="1" si="33"/>
        <v>9000</v>
      </c>
    </row>
    <row r="1094" spans="1:6" x14ac:dyDescent="0.3">
      <c r="A1094" s="40" t="s">
        <v>47</v>
      </c>
      <c r="B1094" s="41" t="str">
        <f t="shared" ca="1" si="34"/>
        <v>Verduras frescas</v>
      </c>
      <c r="C1094" s="42" t="str">
        <f>IFERROR(VLOOKUP("LB",'[1]Informacion '!P:Q,2,FALSE),"")</f>
        <v>Libra </v>
      </c>
      <c r="D1094" s="40">
        <v>1600</v>
      </c>
      <c r="E1094" s="43">
        <v>40</v>
      </c>
      <c r="F1094" s="44">
        <f t="shared" ca="1" si="33"/>
        <v>64000</v>
      </c>
    </row>
    <row r="1095" spans="1:6" x14ac:dyDescent="0.3">
      <c r="A1095" s="40" t="s">
        <v>47</v>
      </c>
      <c r="B1095" s="41" t="str">
        <f t="shared" ca="1" si="34"/>
        <v>Verduras frescas</v>
      </c>
      <c r="C1095" s="42" t="str">
        <f>IFERROR(VLOOKUP("LB",'[1]Informacion '!P:Q,2,FALSE),"")</f>
        <v>Libra </v>
      </c>
      <c r="D1095" s="40">
        <v>60</v>
      </c>
      <c r="E1095" s="43">
        <v>60</v>
      </c>
      <c r="F1095" s="44">
        <f t="shared" ca="1" si="33"/>
        <v>3600</v>
      </c>
    </row>
    <row r="1096" spans="1:6" x14ac:dyDescent="0.3">
      <c r="A1096" s="40" t="s">
        <v>47</v>
      </c>
      <c r="B1096" s="41" t="str">
        <f t="shared" ca="1" si="34"/>
        <v>Verduras frescas</v>
      </c>
      <c r="C1096" s="42" t="str">
        <f>IFERROR(VLOOKUP("LB",'[1]Informacion '!P:Q,2,FALSE),"")</f>
        <v>Libra </v>
      </c>
      <c r="D1096" s="40">
        <v>120</v>
      </c>
      <c r="E1096" s="43">
        <v>100</v>
      </c>
      <c r="F1096" s="44">
        <f t="shared" ca="1" si="33"/>
        <v>12000</v>
      </c>
    </row>
    <row r="1097" spans="1:6" x14ac:dyDescent="0.3">
      <c r="A1097" s="40" t="s">
        <v>47</v>
      </c>
      <c r="B1097" s="41" t="str">
        <f t="shared" ca="1" si="34"/>
        <v>Verduras frescas</v>
      </c>
      <c r="C1097" s="42" t="str">
        <f>IFERROR(VLOOKUP("GAL",'[1]Informacion '!P:Q,2,FALSE),"")</f>
        <v>Galón</v>
      </c>
      <c r="D1097" s="40">
        <v>20</v>
      </c>
      <c r="E1097" s="43">
        <v>1500</v>
      </c>
      <c r="F1097" s="44">
        <f t="shared" ca="1" si="33"/>
        <v>30000</v>
      </c>
    </row>
    <row r="1098" spans="1:6" x14ac:dyDescent="0.3">
      <c r="A1098" s="40" t="s">
        <v>49</v>
      </c>
      <c r="B1098" s="41" t="str">
        <f ca="1">IFERROR(INDEX(UNSPSCDes,MATCH(INDIRECT(ADDRESS(ROW(),COLUMN()-1,4)),UNSPSCCode,0)),IF(INDIRECT(ADDRESS(ROW(),COLUMN()-1,4))="50101540","Verduras estables sin refrigerar",""))</f>
        <v>Verduras estables sin refrigerar</v>
      </c>
      <c r="C1098" s="42" t="str">
        <f>IFERROR(VLOOKUP("LB",'[1]Informacion '!P:Q,2,FALSE),"")</f>
        <v>Libra </v>
      </c>
      <c r="D1098" s="40">
        <v>500</v>
      </c>
      <c r="E1098" s="43">
        <v>12</v>
      </c>
      <c r="F1098" s="44">
        <f t="shared" ca="1" si="33"/>
        <v>6000</v>
      </c>
    </row>
    <row r="1099" spans="1:6" x14ac:dyDescent="0.3">
      <c r="A1099" s="40" t="s">
        <v>49</v>
      </c>
      <c r="B1099" s="41" t="str">
        <f ca="1">IFERROR(INDEX(UNSPSCDes,MATCH(INDIRECT(ADDRESS(ROW(),COLUMN()-1,4)),UNSPSCCode,0)),IF(INDIRECT(ADDRESS(ROW(),COLUMN()-1,4))="50101540","Verduras estables sin refrigerar",""))</f>
        <v>Verduras estables sin refrigerar</v>
      </c>
      <c r="C1099" s="42" t="str">
        <f>IFERROR(VLOOKUP("LB",'[1]Informacion '!P:Q,2,FALSE),"")</f>
        <v>Libra </v>
      </c>
      <c r="D1099" s="40">
        <v>600</v>
      </c>
      <c r="E1099" s="43">
        <v>40</v>
      </c>
      <c r="F1099" s="44">
        <f t="shared" ca="1" si="33"/>
        <v>24000</v>
      </c>
    </row>
    <row r="1100" spans="1:6" x14ac:dyDescent="0.3">
      <c r="A1100" s="40" t="s">
        <v>48</v>
      </c>
      <c r="B1100" s="41" t="str">
        <f ca="1">IFERROR(INDEX(UNSPSCDes,MATCH(INDIRECT(ADDRESS(ROW(),COLUMN()-1,4)),UNSPSCCode,0)),IF(INDIRECT(ADDRESS(ROW(),COLUMN()-1,4))="50101634","Fruta fresca",""))</f>
        <v>Fruta fresca</v>
      </c>
      <c r="C1100" s="42" t="str">
        <f>IFERROR(VLOOKUP("LB",'[1]Informacion '!P:Q,2,FALSE),"")</f>
        <v>Libra </v>
      </c>
      <c r="D1100" s="40">
        <v>200</v>
      </c>
      <c r="E1100" s="43">
        <v>25</v>
      </c>
      <c r="F1100" s="44">
        <f t="shared" ca="1" si="33"/>
        <v>5000</v>
      </c>
    </row>
    <row r="1101" spans="1:6" x14ac:dyDescent="0.3">
      <c r="A1101" s="40" t="s">
        <v>47</v>
      </c>
      <c r="B1101" s="41" t="str">
        <f ca="1">IFERROR(INDEX(UNSPSCDes,MATCH(INDIRECT(ADDRESS(ROW(),COLUMN()-1,4)),UNSPSCCode,0)),IF(INDIRECT(ADDRESS(ROW(),COLUMN()-1,4))="50101538","Verduras frescas",""))</f>
        <v>Verduras frescas</v>
      </c>
      <c r="C1101" s="42" t="str">
        <f>IFERROR(VLOOKUP("PAQ",'[1]Informacion '!P:Q,2,FALSE),"")</f>
        <v>Paquete</v>
      </c>
      <c r="D1101" s="40">
        <v>100</v>
      </c>
      <c r="E1101" s="43">
        <v>40</v>
      </c>
      <c r="F1101" s="44">
        <f t="shared" ca="1" si="33"/>
        <v>4000</v>
      </c>
    </row>
    <row r="1102" spans="1:6" x14ac:dyDescent="0.3">
      <c r="A1102" s="40" t="s">
        <v>49</v>
      </c>
      <c r="B1102" s="41" t="str">
        <f ca="1">IFERROR(INDEX(UNSPSCDes,MATCH(INDIRECT(ADDRESS(ROW(),COLUMN()-1,4)),UNSPSCCode,0)),IF(INDIRECT(ADDRESS(ROW(),COLUMN()-1,4))="50101540","Verduras estables sin refrigerar",""))</f>
        <v>Verduras estables sin refrigerar</v>
      </c>
      <c r="C1102" s="42" t="str">
        <f>IFERROR(VLOOKUP("LB",'[1]Informacion '!P:Q,2,FALSE),"")</f>
        <v>Libra </v>
      </c>
      <c r="D1102" s="40">
        <v>500</v>
      </c>
      <c r="E1102" s="43">
        <v>30</v>
      </c>
      <c r="F1102" s="44">
        <f t="shared" ca="1" si="33"/>
        <v>15000</v>
      </c>
    </row>
    <row r="1103" spans="1:6" x14ac:dyDescent="0.3">
      <c r="A1103" s="40" t="s">
        <v>49</v>
      </c>
      <c r="B1103" s="41" t="str">
        <f ca="1">IFERROR(INDEX(UNSPSCDes,MATCH(INDIRECT(ADDRESS(ROW(),COLUMN()-1,4)),UNSPSCCode,0)),IF(INDIRECT(ADDRESS(ROW(),COLUMN()-1,4))="50101540","Verduras estables sin refrigerar",""))</f>
        <v>Verduras estables sin refrigerar</v>
      </c>
      <c r="C1103" s="42" t="str">
        <f>IFERROR(VLOOKUP("LB",'[1]Informacion '!P:Q,2,FALSE),"")</f>
        <v>Libra </v>
      </c>
      <c r="D1103" s="40">
        <v>200</v>
      </c>
      <c r="E1103" s="43">
        <v>80</v>
      </c>
      <c r="F1103" s="44">
        <f t="shared" ca="1" si="33"/>
        <v>16000</v>
      </c>
    </row>
    <row r="1104" spans="1:6" x14ac:dyDescent="0.3">
      <c r="A1104" s="40" t="s">
        <v>51</v>
      </c>
      <c r="B1104" s="41" t="str">
        <f ca="1">IFERROR(INDEX(UNSPSCDes,MATCH(INDIRECT(ADDRESS(ROW(),COLUMN()-1,4)),UNSPSCCode,0)),IF(INDIRECT(ADDRESS(ROW(),COLUMN()-1,4))="50171548","Hierbas frescas",""))</f>
        <v>Hierbas frescas</v>
      </c>
      <c r="C1104" s="42" t="str">
        <f>IFERROR(VLOOKUP("LB",'[1]Informacion '!P:Q,2,FALSE),"")</f>
        <v>Libra </v>
      </c>
      <c r="D1104" s="40">
        <v>10</v>
      </c>
      <c r="E1104" s="43">
        <v>50</v>
      </c>
      <c r="F1104" s="44">
        <f t="shared" ca="1" si="33"/>
        <v>500</v>
      </c>
    </row>
    <row r="1105" spans="1:6" x14ac:dyDescent="0.3">
      <c r="A1105" s="30"/>
      <c r="B1105" s="30"/>
      <c r="C1105" s="30"/>
      <c r="D1105" s="30"/>
      <c r="E1105" s="45" t="s">
        <v>52</v>
      </c>
      <c r="F1105" s="46">
        <f ca="1">SUM(Table54[MONTO TOTAL ESTIMADO])</f>
        <v>1774930</v>
      </c>
    </row>
    <row r="1106" spans="1:6" ht="15" thickBot="1" x14ac:dyDescent="0.35">
      <c r="A1106" s="30"/>
      <c r="B1106" s="30"/>
      <c r="C1106" s="30"/>
      <c r="D1106" s="30"/>
      <c r="E1106" s="30"/>
      <c r="F1106" s="30"/>
    </row>
    <row r="1107" spans="1:6" ht="21" thickBot="1" x14ac:dyDescent="0.35">
      <c r="A1107" s="31" t="s">
        <v>19</v>
      </c>
      <c r="B1107" s="31" t="s">
        <v>20</v>
      </c>
      <c r="C1107" s="31" t="s">
        <v>21</v>
      </c>
      <c r="D1107" s="31" t="s">
        <v>22</v>
      </c>
      <c r="E1107" s="31" t="s">
        <v>23</v>
      </c>
      <c r="F1107" s="31" t="s">
        <v>24</v>
      </c>
    </row>
    <row r="1108" spans="1:6" ht="31.2" thickBot="1" x14ac:dyDescent="0.35">
      <c r="A1108" s="12" t="s">
        <v>303</v>
      </c>
      <c r="B1108" s="12" t="s">
        <v>303</v>
      </c>
      <c r="C1108" s="12" t="s">
        <v>27</v>
      </c>
      <c r="D1108" s="12" t="s">
        <v>28</v>
      </c>
      <c r="E1108" s="12" t="s">
        <v>59</v>
      </c>
      <c r="F1108" s="12"/>
    </row>
    <row r="1109" spans="1:6" ht="15" thickBot="1" x14ac:dyDescent="0.35">
      <c r="A1109" s="32" t="s">
        <v>30</v>
      </c>
      <c r="B1109" s="33" t="s">
        <v>31</v>
      </c>
      <c r="C1109" s="34">
        <v>45859</v>
      </c>
      <c r="D1109" s="32" t="s">
        <v>32</v>
      </c>
      <c r="E1109" s="35" t="s">
        <v>33</v>
      </c>
      <c r="F1109" s="36" t="s">
        <v>34</v>
      </c>
    </row>
    <row r="1110" spans="1:6" ht="15" thickBot="1" x14ac:dyDescent="0.35">
      <c r="A1110" s="37"/>
      <c r="B1110" s="33" t="s">
        <v>35</v>
      </c>
      <c r="C1110" s="38">
        <f>IF(C1109="","",IF(AND(MONTH(C1109)&gt;=1,MONTH(C1109)&lt;=3),1,IF(AND(MONTH(C1109)&gt;=4,MONTH(C1109)&lt;=6),2,IF(AND(MONTH(C1109)&gt;=7,MONTH(C1109)&lt;=9),3,4))))</f>
        <v>3</v>
      </c>
      <c r="D1110" s="37"/>
      <c r="E1110" s="35" t="s">
        <v>36</v>
      </c>
      <c r="F1110" s="36" t="s">
        <v>37</v>
      </c>
    </row>
    <row r="1111" spans="1:6" ht="15" thickBot="1" x14ac:dyDescent="0.35">
      <c r="A1111" s="37"/>
      <c r="B1111" s="33" t="s">
        <v>38</v>
      </c>
      <c r="C1111" s="34">
        <v>45863</v>
      </c>
      <c r="D1111" s="37"/>
      <c r="E1111" s="35" t="s">
        <v>39</v>
      </c>
      <c r="F1111" s="36" t="s">
        <v>37</v>
      </c>
    </row>
    <row r="1112" spans="1:6" ht="15" thickBot="1" x14ac:dyDescent="0.35">
      <c r="A1112" s="37"/>
      <c r="B1112" s="33" t="s">
        <v>35</v>
      </c>
      <c r="C1112" s="38">
        <f>IF(C1111="","",IF(AND(MONTH(C1111)&gt;=1,MONTH(C1111)&lt;=3),1,IF(AND(MONTH(C1111)&gt;=4,MONTH(C1111)&lt;=6),2,IF(AND(MONTH(C1111)&gt;=7,MONTH(C1111)&lt;=9),3,4))))</f>
        <v>3</v>
      </c>
      <c r="D1112" s="37"/>
      <c r="E1112" s="35" t="s">
        <v>40</v>
      </c>
      <c r="F1112" s="36"/>
    </row>
    <row r="1113" spans="1:6" ht="15" thickBot="1" x14ac:dyDescent="0.35">
      <c r="A1113" s="30"/>
      <c r="B1113" s="30"/>
      <c r="C1113" s="30"/>
      <c r="D1113" s="30"/>
      <c r="E1113" s="30"/>
      <c r="F1113" s="30"/>
    </row>
    <row r="1114" spans="1:6" ht="15" thickBot="1" x14ac:dyDescent="0.35">
      <c r="A1114" s="39" t="s">
        <v>41</v>
      </c>
      <c r="B1114" s="39" t="s">
        <v>42</v>
      </c>
      <c r="C1114" s="39" t="s">
        <v>43</v>
      </c>
      <c r="D1114" s="39" t="s">
        <v>44</v>
      </c>
      <c r="E1114" s="39" t="s">
        <v>45</v>
      </c>
      <c r="F1114" s="39" t="s">
        <v>46</v>
      </c>
    </row>
    <row r="1115" spans="1:6" x14ac:dyDescent="0.3">
      <c r="A1115" s="40" t="s">
        <v>55</v>
      </c>
      <c r="B1115" s="41" t="str">
        <f ca="1">IFERROR(INDEX(UNSPSCDes,MATCH(INDIRECT(ADDRESS(ROW(),COLUMN()-1,4)),UNSPSCCode,0)),IF(INDIRECT(ADDRESS(ROW(),COLUMN()-1,4))="50111510","Carne de ave o carne fresca",""))</f>
        <v>Carne de ave o carne fresca</v>
      </c>
      <c r="C1115" s="42" t="str">
        <f>IFERROR(VLOOKUP("LB",'[1]Informacion '!P:Q,2,FALSE),"")</f>
        <v>Libra </v>
      </c>
      <c r="D1115" s="40">
        <v>810</v>
      </c>
      <c r="E1115" s="43">
        <v>95</v>
      </c>
      <c r="F1115" s="44">
        <f ca="1">INDIRECT(ADDRESS(ROW(),COLUMN()-2,4))*INDIRECT(ADDRESS(ROW(),COLUMN()-1,4))</f>
        <v>76950</v>
      </c>
    </row>
    <row r="1116" spans="1:6" x14ac:dyDescent="0.3">
      <c r="A1116" s="40" t="s">
        <v>55</v>
      </c>
      <c r="B1116" s="41" t="str">
        <f ca="1">IFERROR(INDEX(UNSPSCDes,MATCH(INDIRECT(ADDRESS(ROW(),COLUMN()-1,4)),UNSPSCCode,0)),IF(INDIRECT(ADDRESS(ROW(),COLUMN()-1,4))="50111510","Carne de ave o carne fresca",""))</f>
        <v>Carne de ave o carne fresca</v>
      </c>
      <c r="C1116" s="42" t="str">
        <f>IFERROR(VLOOKUP("LB",'[1]Informacion '!P:Q,2,FALSE),"")</f>
        <v>Libra </v>
      </c>
      <c r="D1116" s="40">
        <v>630</v>
      </c>
      <c r="E1116" s="43">
        <v>140</v>
      </c>
      <c r="F1116" s="44">
        <f ca="1">INDIRECT(ADDRESS(ROW(),COLUMN()-2,4))*INDIRECT(ADDRESS(ROW(),COLUMN()-1,4))</f>
        <v>88200</v>
      </c>
    </row>
    <row r="1117" spans="1:6" ht="20.399999999999999" x14ac:dyDescent="0.3">
      <c r="A1117" s="40" t="s">
        <v>56</v>
      </c>
      <c r="B1117" s="41" t="str">
        <f ca="1">IFERROR(INDEX(UNSPSCDes,MATCH(INDIRECT(ADDRESS(ROW(),COLUMN()-1,4)),UNSPSCCode,0)),IF(INDIRECT(ADDRESS(ROW(),COLUMN()-1,4))="50112002","Carnes procesadas y preparadas congelado",""))</f>
        <v>Carnes procesadas y preparadas congelado</v>
      </c>
      <c r="C1117" s="42" t="str">
        <f>IFERROR(VLOOKUP("LB",'[1]Informacion '!P:Q,2,FALSE),"")</f>
        <v>Libra </v>
      </c>
      <c r="D1117" s="40">
        <v>540</v>
      </c>
      <c r="E1117" s="43">
        <v>140</v>
      </c>
      <c r="F1117" s="44">
        <f ca="1">INDIRECT(ADDRESS(ROW(),COLUMN()-2,4))*INDIRECT(ADDRESS(ROW(),COLUMN()-1,4))</f>
        <v>75600</v>
      </c>
    </row>
    <row r="1118" spans="1:6" ht="20.399999999999999" x14ac:dyDescent="0.3">
      <c r="A1118" s="40" t="s">
        <v>56</v>
      </c>
      <c r="B1118" s="41" t="str">
        <f ca="1">IFERROR(INDEX(UNSPSCDes,MATCH(INDIRECT(ADDRESS(ROW(),COLUMN()-1,4)),UNSPSCCode,0)),IF(INDIRECT(ADDRESS(ROW(),COLUMN()-1,4))="50112002","Carnes procesadas y preparadas congelado",""))</f>
        <v>Carnes procesadas y preparadas congelado</v>
      </c>
      <c r="C1118" s="42" t="str">
        <f>IFERROR(VLOOKUP("LB",'[1]Informacion '!P:Q,2,FALSE),"")</f>
        <v>Libra </v>
      </c>
      <c r="D1118" s="40">
        <v>300</v>
      </c>
      <c r="E1118" s="43">
        <v>130</v>
      </c>
      <c r="F1118" s="44">
        <f ca="1">INDIRECT(ADDRESS(ROW(),COLUMN()-2,4))*INDIRECT(ADDRESS(ROW(),COLUMN()-1,4))</f>
        <v>39000</v>
      </c>
    </row>
    <row r="1119" spans="1:6" x14ac:dyDescent="0.3">
      <c r="A1119" s="40" t="s">
        <v>55</v>
      </c>
      <c r="B1119" s="41" t="str">
        <f ca="1">IFERROR(INDEX(UNSPSCDes,MATCH(INDIRECT(ADDRESS(ROW(),COLUMN()-1,4)),UNSPSCCode,0)),IF(INDIRECT(ADDRESS(ROW(),COLUMN()-1,4))="50111510","Carne de ave o carne fresca",""))</f>
        <v>Carne de ave o carne fresca</v>
      </c>
      <c r="C1119" s="42" t="str">
        <f>IFERROR(VLOOKUP("LB",'[1]Informacion '!P:Q,2,FALSE),"")</f>
        <v>Libra </v>
      </c>
      <c r="D1119" s="40">
        <v>255</v>
      </c>
      <c r="E1119" s="43">
        <v>100</v>
      </c>
      <c r="F1119" s="44">
        <f ca="1">INDIRECT(ADDRESS(ROW(),COLUMN()-2,4))*INDIRECT(ADDRESS(ROW(),COLUMN()-1,4))</f>
        <v>25500</v>
      </c>
    </row>
    <row r="1120" spans="1:6" x14ac:dyDescent="0.3">
      <c r="A1120" s="30"/>
      <c r="B1120" s="30"/>
      <c r="C1120" s="30"/>
      <c r="D1120" s="30"/>
      <c r="E1120" s="45" t="s">
        <v>52</v>
      </c>
      <c r="F1120" s="46">
        <f ca="1">SUM(Table55[MONTO TOTAL ESTIMADO])</f>
        <v>305250</v>
      </c>
    </row>
    <row r="1121" spans="1:6" ht="15" thickBot="1" x14ac:dyDescent="0.35">
      <c r="A1121" s="30"/>
      <c r="B1121" s="30"/>
      <c r="C1121" s="30"/>
      <c r="D1121" s="30"/>
      <c r="E1121" s="30"/>
      <c r="F1121" s="30"/>
    </row>
    <row r="1122" spans="1:6" ht="21" thickBot="1" x14ac:dyDescent="0.35">
      <c r="A1122" s="31" t="s">
        <v>19</v>
      </c>
      <c r="B1122" s="31" t="s">
        <v>20</v>
      </c>
      <c r="C1122" s="31" t="s">
        <v>21</v>
      </c>
      <c r="D1122" s="31" t="s">
        <v>22</v>
      </c>
      <c r="E1122" s="31" t="s">
        <v>23</v>
      </c>
      <c r="F1122" s="31" t="s">
        <v>24</v>
      </c>
    </row>
    <row r="1123" spans="1:6" ht="21" thickBot="1" x14ac:dyDescent="0.35">
      <c r="A1123" s="12" t="s">
        <v>304</v>
      </c>
      <c r="B1123" s="12" t="s">
        <v>304</v>
      </c>
      <c r="C1123" s="12" t="s">
        <v>27</v>
      </c>
      <c r="D1123" s="12" t="s">
        <v>28</v>
      </c>
      <c r="E1123" s="12" t="s">
        <v>59</v>
      </c>
      <c r="F1123" s="12"/>
    </row>
    <row r="1124" spans="1:6" ht="15" thickBot="1" x14ac:dyDescent="0.35">
      <c r="A1124" s="32" t="s">
        <v>30</v>
      </c>
      <c r="B1124" s="33" t="s">
        <v>31</v>
      </c>
      <c r="C1124" s="34">
        <v>45852</v>
      </c>
      <c r="D1124" s="32" t="s">
        <v>32</v>
      </c>
      <c r="E1124" s="35" t="s">
        <v>33</v>
      </c>
      <c r="F1124" s="36" t="s">
        <v>34</v>
      </c>
    </row>
    <row r="1125" spans="1:6" ht="15" thickBot="1" x14ac:dyDescent="0.35">
      <c r="A1125" s="37"/>
      <c r="B1125" s="33" t="s">
        <v>35</v>
      </c>
      <c r="C1125" s="38">
        <f>IF(C1124="","",IF(AND(MONTH(C1124)&gt;=1,MONTH(C1124)&lt;=3),1,IF(AND(MONTH(C1124)&gt;=4,MONTH(C1124)&lt;=6),2,IF(AND(MONTH(C1124)&gt;=7,MONTH(C1124)&lt;=9),3,4))))</f>
        <v>3</v>
      </c>
      <c r="D1125" s="37"/>
      <c r="E1125" s="35" t="s">
        <v>36</v>
      </c>
      <c r="F1125" s="36" t="s">
        <v>37</v>
      </c>
    </row>
    <row r="1126" spans="1:6" ht="15" thickBot="1" x14ac:dyDescent="0.35">
      <c r="A1126" s="37"/>
      <c r="B1126" s="33" t="s">
        <v>38</v>
      </c>
      <c r="C1126" s="34">
        <v>45856</v>
      </c>
      <c r="D1126" s="37"/>
      <c r="E1126" s="35" t="s">
        <v>39</v>
      </c>
      <c r="F1126" s="36" t="s">
        <v>37</v>
      </c>
    </row>
    <row r="1127" spans="1:6" ht="15" thickBot="1" x14ac:dyDescent="0.35">
      <c r="A1127" s="37"/>
      <c r="B1127" s="33" t="s">
        <v>35</v>
      </c>
      <c r="C1127" s="38">
        <f>IF(C1126="","",IF(AND(MONTH(C1126)&gt;=1,MONTH(C1126)&lt;=3),1,IF(AND(MONTH(C1126)&gt;=4,MONTH(C1126)&lt;=6),2,IF(AND(MONTH(C1126)&gt;=7,MONTH(C1126)&lt;=9),3,4))))</f>
        <v>3</v>
      </c>
      <c r="D1127" s="37"/>
      <c r="E1127" s="35" t="s">
        <v>40</v>
      </c>
      <c r="F1127" s="36"/>
    </row>
    <row r="1128" spans="1:6" ht="15" thickBot="1" x14ac:dyDescent="0.35">
      <c r="A1128" s="30"/>
      <c r="B1128" s="30"/>
      <c r="C1128" s="30"/>
      <c r="D1128" s="30"/>
      <c r="E1128" s="30"/>
      <c r="F1128" s="30"/>
    </row>
    <row r="1129" spans="1:6" ht="15" thickBot="1" x14ac:dyDescent="0.35">
      <c r="A1129" s="39" t="s">
        <v>41</v>
      </c>
      <c r="B1129" s="39" t="s">
        <v>42</v>
      </c>
      <c r="C1129" s="39" t="s">
        <v>43</v>
      </c>
      <c r="D1129" s="39" t="s">
        <v>44</v>
      </c>
      <c r="E1129" s="39" t="s">
        <v>45</v>
      </c>
      <c r="F1129" s="39" t="s">
        <v>46</v>
      </c>
    </row>
    <row r="1130" spans="1:6" ht="20.399999999999999" x14ac:dyDescent="0.3">
      <c r="A1130" s="40" t="s">
        <v>60</v>
      </c>
      <c r="B1130" s="41" t="str">
        <f ca="1">IFERROR(INDEX(UNSPSCDes,MATCH(INDIRECT(ADDRESS(ROW(),COLUMN()-1,4)),UNSPSCCode,0)),IF(INDIRECT(ADDRESS(ROW(),COLUMN()-1,4))="50151513","Aceites vegetales o  de planta comestibles",""))</f>
        <v>Aceites vegetales o  de planta comestibles</v>
      </c>
      <c r="C1130" s="42" t="str">
        <f>IFERROR(VLOOKUP("GAL",'[1]Informacion '!P:Q,2,FALSE),"")</f>
        <v>Galón</v>
      </c>
      <c r="D1130" s="40">
        <v>19</v>
      </c>
      <c r="E1130" s="43">
        <v>1500</v>
      </c>
      <c r="F1130" s="44">
        <f t="shared" ref="F1130:F1155" ca="1" si="35">INDIRECT(ADDRESS(ROW(),COLUMN()-2,4))*INDIRECT(ADDRESS(ROW(),COLUMN()-1,4))</f>
        <v>28500</v>
      </c>
    </row>
    <row r="1131" spans="1:6" x14ac:dyDescent="0.3">
      <c r="A1131" s="40" t="s">
        <v>61</v>
      </c>
      <c r="B1131" s="41" t="str">
        <f ca="1">IFERROR(INDEX(UNSPSCDes,MATCH(INDIRECT(ADDRESS(ROW(),COLUMN()-1,4)),UNSPSCCode,0)),IF(INDIRECT(ADDRESS(ROW(),COLUMN()-1,4))="50171552","Mezcla para adobar",""))</f>
        <v>Mezcla para adobar</v>
      </c>
      <c r="C1131" s="42" t="str">
        <f>IFERROR(VLOOKUP("CAJ",'[1]Informacion '!P:Q,2,FALSE),"")</f>
        <v>Caja</v>
      </c>
      <c r="D1131" s="40">
        <v>3</v>
      </c>
      <c r="E1131" s="43">
        <v>2300</v>
      </c>
      <c r="F1131" s="44">
        <f t="shared" ca="1" si="35"/>
        <v>6900</v>
      </c>
    </row>
    <row r="1132" spans="1:6" ht="20.399999999999999" x14ac:dyDescent="0.3">
      <c r="A1132" s="40" t="s">
        <v>62</v>
      </c>
      <c r="B1132" s="41" t="str">
        <f ca="1">IFERROR(INDEX(UNSPSCDes,MATCH(INDIRECT(ADDRESS(ROW(),COLUMN()-1,4)),UNSPSCCode,0)),IF(INDIRECT(ADDRESS(ROW(),COLUMN()-1,4))="50161509","Azucares naturales o productos endulzantes",""))</f>
        <v>Azucares naturales o productos endulzantes</v>
      </c>
      <c r="C1132" s="42" t="str">
        <f>IFERROR(VLOOKUP("UD",'[1]Informacion '!P:Q,2,FALSE),"")</f>
        <v>Unidad</v>
      </c>
      <c r="D1132" s="40">
        <v>3</v>
      </c>
      <c r="E1132" s="43">
        <v>5000</v>
      </c>
      <c r="F1132" s="44">
        <f t="shared" ca="1" si="35"/>
        <v>15000</v>
      </c>
    </row>
    <row r="1133" spans="1:6" x14ac:dyDescent="0.3">
      <c r="A1133" s="40" t="s">
        <v>63</v>
      </c>
      <c r="B1133" s="41" t="str">
        <f ca="1">IFERROR(INDEX(UNSPSCDes,MATCH(INDIRECT(ADDRESS(ROW(),COLUMN()-1,4)),UNSPSCCode,0)),IF(INDIRECT(ADDRESS(ROW(),COLUMN()-1,4))="50192902","Pasta o fideos de repisa",""))</f>
        <v>Pasta o fideos de repisa</v>
      </c>
      <c r="C1133" s="42" t="str">
        <f>IFERROR(VLOOKUP("YD",'[1]Informacion '!P:Q,2,FALSE),"")</f>
        <v>Yarda</v>
      </c>
      <c r="D1133" s="40">
        <v>3</v>
      </c>
      <c r="E1133" s="43">
        <v>500</v>
      </c>
      <c r="F1133" s="44">
        <f t="shared" ca="1" si="35"/>
        <v>1500</v>
      </c>
    </row>
    <row r="1134" spans="1:6" x14ac:dyDescent="0.3">
      <c r="A1134" s="40" t="s">
        <v>64</v>
      </c>
      <c r="B1134" s="41" t="str">
        <f ca="1">IFERROR(INDEX(UNSPSCDes,MATCH(INDIRECT(ADDRESS(ROW(),COLUMN()-1,4)),UNSPSCCode,0)),IF(INDIRECT(ADDRESS(ROW(),COLUMN()-1,4))="50221001","Granos",""))</f>
        <v>Granos</v>
      </c>
      <c r="C1134" s="42" t="str">
        <f>IFERROR(VLOOKUP("LB",'[1]Informacion '!P:Q,2,FALSE),"")</f>
        <v>Libra </v>
      </c>
      <c r="D1134" s="40">
        <v>198</v>
      </c>
      <c r="E1134" s="43">
        <v>60</v>
      </c>
      <c r="F1134" s="44">
        <f t="shared" ca="1" si="35"/>
        <v>11880</v>
      </c>
    </row>
    <row r="1135" spans="1:6" x14ac:dyDescent="0.3">
      <c r="A1135" s="40" t="s">
        <v>64</v>
      </c>
      <c r="B1135" s="41" t="str">
        <f ca="1">IFERROR(INDEX(UNSPSCDes,MATCH(INDIRECT(ADDRESS(ROW(),COLUMN()-1,4)),UNSPSCCode,0)),IF(INDIRECT(ADDRESS(ROW(),COLUMN()-1,4))="50221001","Granos",""))</f>
        <v>Granos</v>
      </c>
      <c r="C1135" s="42" t="str">
        <f>IFERROR(VLOOKUP("LB",'[1]Informacion '!P:Q,2,FALSE),"")</f>
        <v>Libra </v>
      </c>
      <c r="D1135" s="40">
        <v>84</v>
      </c>
      <c r="E1135" s="43">
        <v>55</v>
      </c>
      <c r="F1135" s="44">
        <f t="shared" ca="1" si="35"/>
        <v>4620</v>
      </c>
    </row>
    <row r="1136" spans="1:6" x14ac:dyDescent="0.3">
      <c r="A1136" s="40" t="s">
        <v>65</v>
      </c>
      <c r="B1136" s="41" t="str">
        <f ca="1">IFERROR(INDEX(UNSPSCDes,MATCH(INDIRECT(ADDRESS(ROW(),COLUMN()-1,4)),UNSPSCCode,0)),IF(INDIRECT(ADDRESS(ROW(),COLUMN()-1,4))="50171832","Salsas para ensaladas o dips",""))</f>
        <v>Salsas para ensaladas o dips</v>
      </c>
      <c r="C1136" s="42" t="str">
        <f>IFERROR(VLOOKUP("GAL",'[1]Informacion '!P:Q,2,FALSE),"")</f>
        <v>Galón</v>
      </c>
      <c r="D1136" s="40">
        <v>3</v>
      </c>
      <c r="E1136" s="43">
        <v>750</v>
      </c>
      <c r="F1136" s="44">
        <f t="shared" ca="1" si="35"/>
        <v>2250</v>
      </c>
    </row>
    <row r="1137" spans="1:6" x14ac:dyDescent="0.3">
      <c r="A1137" s="40" t="s">
        <v>63</v>
      </c>
      <c r="B1137" s="41" t="str">
        <f ca="1">IFERROR(INDEX(UNSPSCDes,MATCH(INDIRECT(ADDRESS(ROW(),COLUMN()-1,4)),UNSPSCCode,0)),IF(INDIRECT(ADDRESS(ROW(),COLUMN()-1,4))="50192902","Pasta o fideos de repisa",""))</f>
        <v>Pasta o fideos de repisa</v>
      </c>
      <c r="C1137" s="42" t="str">
        <f>IFERROR(VLOOKUP("UD",'[1]Informacion '!P:Q,2,FALSE),"")</f>
        <v>Unidad</v>
      </c>
      <c r="D1137" s="40">
        <v>12</v>
      </c>
      <c r="E1137" s="43">
        <v>460</v>
      </c>
      <c r="F1137" s="44">
        <f t="shared" ca="1" si="35"/>
        <v>5520</v>
      </c>
    </row>
    <row r="1138" spans="1:6" x14ac:dyDescent="0.3">
      <c r="A1138" s="40" t="s">
        <v>66</v>
      </c>
      <c r="B1138" s="41" t="str">
        <f ca="1">IFERROR(INDEX(UNSPSCDes,MATCH(INDIRECT(ADDRESS(ROW(),COLUMN()-1,4)),UNSPSCCode,0)),IF(INDIRECT(ADDRESS(ROW(),COLUMN()-1,4))="50171831","Salsas para cocinar",""))</f>
        <v>Salsas para cocinar</v>
      </c>
      <c r="C1138" s="42" t="str">
        <f>IFERROR(VLOOKUP("UD",'[1]Informacion '!P:Q,2,FALSE),"")</f>
        <v>Unidad</v>
      </c>
      <c r="D1138" s="40">
        <v>18</v>
      </c>
      <c r="E1138" s="43">
        <v>550</v>
      </c>
      <c r="F1138" s="44">
        <f t="shared" ca="1" si="35"/>
        <v>9900</v>
      </c>
    </row>
    <row r="1139" spans="1:6" x14ac:dyDescent="0.3">
      <c r="A1139" s="40" t="s">
        <v>67</v>
      </c>
      <c r="B1139" s="41" t="str">
        <f ca="1">IFERROR(INDEX(UNSPSCDes,MATCH(INDIRECT(ADDRESS(ROW(),COLUMN()-1,4)),UNSPSCCode,0)),IF(INDIRECT(ADDRESS(ROW(),COLUMN()-1,4))="50131802","Queso procesado",""))</f>
        <v>Queso procesado</v>
      </c>
      <c r="C1139" s="42" t="str">
        <f>IFERROR(VLOOKUP("LB",'[1]Informacion '!P:Q,2,FALSE),"")</f>
        <v>Libra </v>
      </c>
      <c r="D1139" s="40">
        <v>17</v>
      </c>
      <c r="E1139" s="43">
        <v>225</v>
      </c>
      <c r="F1139" s="44">
        <f t="shared" ca="1" si="35"/>
        <v>3825</v>
      </c>
    </row>
    <row r="1140" spans="1:6" x14ac:dyDescent="0.3">
      <c r="A1140" s="40" t="s">
        <v>64</v>
      </c>
      <c r="B1140" s="41" t="str">
        <f ca="1">IFERROR(INDEX(UNSPSCDes,MATCH(INDIRECT(ADDRESS(ROW(),COLUMN()-1,4)),UNSPSCCode,0)),IF(INDIRECT(ADDRESS(ROW(),COLUMN()-1,4))="50221001","Granos",""))</f>
        <v>Granos</v>
      </c>
      <c r="C1140" s="42" t="str">
        <f>IFERROR(VLOOKUP("UD",'[1]Informacion '!P:Q,2,FALSE),"")</f>
        <v>Unidad</v>
      </c>
      <c r="D1140" s="40">
        <v>30</v>
      </c>
      <c r="E1140" s="43">
        <v>5000</v>
      </c>
      <c r="F1140" s="44">
        <f t="shared" ca="1" si="35"/>
        <v>150000</v>
      </c>
    </row>
    <row r="1141" spans="1:6" x14ac:dyDescent="0.3">
      <c r="A1141" s="40" t="s">
        <v>68</v>
      </c>
      <c r="B1141" s="41" t="str">
        <f ca="1">IFERROR(INDEX(UNSPSCDes,MATCH(INDIRECT(ADDRESS(ROW(),COLUMN()-1,4)),UNSPSCCode,0)),IF(INDIRECT(ADDRESS(ROW(),COLUMN()-1,4))="50171551","Sal de mesa",""))</f>
        <v>Sal de mesa</v>
      </c>
      <c r="C1141" s="42" t="str">
        <f>IFERROR(VLOOKUP("UD",'[1]Informacion '!P:Q,2,FALSE),"")</f>
        <v>Unidad</v>
      </c>
      <c r="D1141" s="40">
        <v>2</v>
      </c>
      <c r="E1141" s="43">
        <v>1200</v>
      </c>
      <c r="F1141" s="44">
        <f t="shared" ca="1" si="35"/>
        <v>2400</v>
      </c>
    </row>
    <row r="1142" spans="1:6" x14ac:dyDescent="0.3">
      <c r="A1142" s="40" t="s">
        <v>69</v>
      </c>
      <c r="B1142" s="41" t="str">
        <f ca="1">IFERROR(INDEX(UNSPSCDes,MATCH(INDIRECT(ADDRESS(ROW(),COLUMN()-1,4)),UNSPSCCode,0)),IF(INDIRECT(ADDRESS(ROW(),COLUMN()-1,4))="50171707","Vinagres",""))</f>
        <v>Vinagres</v>
      </c>
      <c r="C1142" s="42" t="str">
        <f>IFERROR(VLOOKUP("GAL",'[1]Informacion '!P:Q,2,FALSE),"")</f>
        <v>Galón</v>
      </c>
      <c r="D1142" s="40">
        <v>22</v>
      </c>
      <c r="E1142" s="43">
        <v>200</v>
      </c>
      <c r="F1142" s="44">
        <f t="shared" ca="1" si="35"/>
        <v>4400</v>
      </c>
    </row>
    <row r="1143" spans="1:6" ht="20.399999999999999" x14ac:dyDescent="0.3">
      <c r="A1143" s="40" t="s">
        <v>70</v>
      </c>
      <c r="B1143" s="41" t="str">
        <f ca="1">IFERROR(INDEX(UNSPSCDes,MATCH(INDIRECT(ADDRESS(ROW(),COLUMN()-1,4)),UNSPSCCode,0)),IF(INDIRECT(ADDRESS(ROW(),COLUMN()-1,4))="50131702","Productos de leche o mantequilla de estante",""))</f>
        <v>Productos de leche o mantequilla de estante</v>
      </c>
      <c r="C1143" s="42" t="str">
        <f>IFERROR(VLOOKUP("UD",'[1]Informacion '!P:Q,2,FALSE),"")</f>
        <v>Unidad</v>
      </c>
      <c r="D1143" s="40">
        <v>300</v>
      </c>
      <c r="E1143" s="43">
        <v>25</v>
      </c>
      <c r="F1143" s="44">
        <f t="shared" ca="1" si="35"/>
        <v>7500</v>
      </c>
    </row>
    <row r="1144" spans="1:6" x14ac:dyDescent="0.3">
      <c r="A1144" s="40" t="s">
        <v>71</v>
      </c>
      <c r="B1144" s="41" t="str">
        <f ca="1">IFERROR(INDEX(UNSPSCDes,MATCH(INDIRECT(ADDRESS(ROW(),COLUMN()-1,4)),UNSPSCCode,0)),IF(INDIRECT(ADDRESS(ROW(),COLUMN()-1,4))="50171550","Especies o extractos",""))</f>
        <v>Especies o extractos</v>
      </c>
      <c r="C1144" s="42" t="str">
        <f>IFERROR(VLOOKUP("LB",'[1]Informacion '!P:Q,2,FALSE),"")</f>
        <v>Libra </v>
      </c>
      <c r="D1144" s="40">
        <v>3</v>
      </c>
      <c r="E1144" s="43">
        <v>480</v>
      </c>
      <c r="F1144" s="44">
        <f t="shared" ca="1" si="35"/>
        <v>1440</v>
      </c>
    </row>
    <row r="1145" spans="1:6" x14ac:dyDescent="0.3">
      <c r="A1145" s="40" t="s">
        <v>76</v>
      </c>
      <c r="B1145" s="41" t="str">
        <f ca="1">IFERROR(INDEX(UNSPSCDes,MATCH(INDIRECT(ADDRESS(ROW(),COLUMN()-1,4)),UNSPSCCode,0)),IF(INDIRECT(ADDRESS(ROW(),COLUMN()-1,4))="50221101","Grano de cereal",""))</f>
        <v>Grano de cereal</v>
      </c>
      <c r="C1145" s="42" t="str">
        <f>IFERROR(VLOOKUP("UD",'[1]Informacion '!P:Q,2,FALSE),"")</f>
        <v>Unidad</v>
      </c>
      <c r="D1145" s="40">
        <v>60</v>
      </c>
      <c r="E1145" s="43">
        <v>250</v>
      </c>
      <c r="F1145" s="44">
        <f t="shared" ca="1" si="35"/>
        <v>15000</v>
      </c>
    </row>
    <row r="1146" spans="1:6" x14ac:dyDescent="0.3">
      <c r="A1146" s="40" t="s">
        <v>77</v>
      </c>
      <c r="B1146" s="41" t="str">
        <f ca="1">IFERROR(INDEX(UNSPSCDes,MATCH(INDIRECT(ADDRESS(ROW(),COLUMN()-1,4)),UNSPSCCode,0)),IF(INDIRECT(ADDRESS(ROW(),COLUMN()-1,4))="50192110","Nueces o fruta disecada",""))</f>
        <v>Nueces o fruta disecada</v>
      </c>
      <c r="C1146" s="42" t="str">
        <f>IFERROR(VLOOKUP("CAJ",'[1]Informacion '!P:Q,2,FALSE),"")</f>
        <v>Caja</v>
      </c>
      <c r="D1146" s="40">
        <v>3</v>
      </c>
      <c r="E1146" s="43">
        <v>150</v>
      </c>
      <c r="F1146" s="44">
        <f t="shared" ca="1" si="35"/>
        <v>450</v>
      </c>
    </row>
    <row r="1147" spans="1:6" x14ac:dyDescent="0.3">
      <c r="A1147" s="40" t="s">
        <v>76</v>
      </c>
      <c r="B1147" s="41" t="str">
        <f ca="1">IFERROR(INDEX(UNSPSCDes,MATCH(INDIRECT(ADDRESS(ROW(),COLUMN()-1,4)),UNSPSCCode,0)),IF(INDIRECT(ADDRESS(ROW(),COLUMN()-1,4))="50221101","Grano de cereal",""))</f>
        <v>Grano de cereal</v>
      </c>
      <c r="C1147" s="42" t="str">
        <f>IFERROR(VLOOKUP("UD",'[1]Informacion '!P:Q,2,FALSE),"")</f>
        <v>Unidad</v>
      </c>
      <c r="D1147" s="40">
        <v>3</v>
      </c>
      <c r="E1147" s="43">
        <v>750</v>
      </c>
      <c r="F1147" s="44">
        <f t="shared" ca="1" si="35"/>
        <v>2250</v>
      </c>
    </row>
    <row r="1148" spans="1:6" x14ac:dyDescent="0.3">
      <c r="A1148" s="40" t="s">
        <v>78</v>
      </c>
      <c r="B1148" s="41" t="str">
        <f ca="1">IFERROR(INDEX(UNSPSCDes,MATCH(INDIRECT(ADDRESS(ROW(),COLUMN()-1,4)),UNSPSCCode,0)),IF(INDIRECT(ADDRESS(ROW(),COLUMN()-1,4))="50202304","Jugos de repisa",""))</f>
        <v>Jugos de repisa</v>
      </c>
      <c r="C1148" s="42" t="str">
        <f>IFERROR(VLOOKUP("L",'[1]Informacion '!P:Q,2,FALSE),"")</f>
        <v>Litro</v>
      </c>
      <c r="D1148" s="40">
        <v>54</v>
      </c>
      <c r="E1148" s="43">
        <v>75</v>
      </c>
      <c r="F1148" s="44">
        <f t="shared" ca="1" si="35"/>
        <v>4050</v>
      </c>
    </row>
    <row r="1149" spans="1:6" ht="20.399999999999999" x14ac:dyDescent="0.3">
      <c r="A1149" s="40" t="s">
        <v>70</v>
      </c>
      <c r="B1149" s="41" t="str">
        <f ca="1">IFERROR(INDEX(UNSPSCDes,MATCH(INDIRECT(ADDRESS(ROW(),COLUMN()-1,4)),UNSPSCCode,0)),IF(INDIRECT(ADDRESS(ROW(),COLUMN()-1,4))="50131702","Productos de leche o mantequilla de estante",""))</f>
        <v>Productos de leche o mantequilla de estante</v>
      </c>
      <c r="C1149" s="42" t="str">
        <f>IFERROR(VLOOKUP("UD",'[1]Informacion '!P:Q,2,FALSE),"")</f>
        <v>Unidad</v>
      </c>
      <c r="D1149" s="40">
        <v>6</v>
      </c>
      <c r="E1149" s="43">
        <v>1250</v>
      </c>
      <c r="F1149" s="44">
        <f t="shared" ca="1" si="35"/>
        <v>7500</v>
      </c>
    </row>
    <row r="1150" spans="1:6" x14ac:dyDescent="0.3">
      <c r="A1150" s="40" t="s">
        <v>305</v>
      </c>
      <c r="B1150" s="41" t="str">
        <f ca="1">IFERROR(INDEX(UNSPSCDes,MATCH(INDIRECT(ADDRESS(ROW(),COLUMN()-1,4)),UNSPSCCode,0)),IF(INDIRECT(ADDRESS(ROW(),COLUMN()-1,4))="50201706","Café",""))</f>
        <v>Café</v>
      </c>
      <c r="C1150" s="42" t="str">
        <f>IFERROR(VLOOKUP("UD",'[1]Informacion '!P:Q,2,FALSE),"")</f>
        <v>Unidad</v>
      </c>
      <c r="D1150" s="40">
        <v>3</v>
      </c>
      <c r="E1150" s="43">
        <v>9000</v>
      </c>
      <c r="F1150" s="44">
        <f t="shared" ca="1" si="35"/>
        <v>27000</v>
      </c>
    </row>
    <row r="1151" spans="1:6" x14ac:dyDescent="0.3">
      <c r="A1151" s="40" t="s">
        <v>305</v>
      </c>
      <c r="B1151" s="41" t="str">
        <f ca="1">IFERROR(INDEX(UNSPSCDes,MATCH(INDIRECT(ADDRESS(ROW(),COLUMN()-1,4)),UNSPSCCode,0)),IF(INDIRECT(ADDRESS(ROW(),COLUMN()-1,4))="50201706","Café",""))</f>
        <v>Café</v>
      </c>
      <c r="C1151" s="42" t="str">
        <f>IFERROR(VLOOKUP("UD",'[1]Informacion '!P:Q,2,FALSE),"")</f>
        <v>Unidad</v>
      </c>
      <c r="D1151" s="40">
        <v>6</v>
      </c>
      <c r="E1151" s="43">
        <v>6000</v>
      </c>
      <c r="F1151" s="44">
        <f t="shared" ca="1" si="35"/>
        <v>36000</v>
      </c>
    </row>
    <row r="1152" spans="1:6" x14ac:dyDescent="0.3">
      <c r="A1152" s="40" t="s">
        <v>305</v>
      </c>
      <c r="B1152" s="41" t="str">
        <f ca="1">IFERROR(INDEX(UNSPSCDes,MATCH(INDIRECT(ADDRESS(ROW(),COLUMN()-1,4)),UNSPSCCode,0)),IF(INDIRECT(ADDRESS(ROW(),COLUMN()-1,4))="50201706","Café",""))</f>
        <v>Café</v>
      </c>
      <c r="C1152" s="42" t="str">
        <f>IFERROR(VLOOKUP("UD",'[1]Informacion '!P:Q,2,FALSE),"")</f>
        <v>Unidad</v>
      </c>
      <c r="D1152" s="40">
        <v>6</v>
      </c>
      <c r="E1152" s="43">
        <v>850</v>
      </c>
      <c r="F1152" s="44">
        <f t="shared" ca="1" si="35"/>
        <v>5100</v>
      </c>
    </row>
    <row r="1153" spans="1:6" ht="20.399999999999999" x14ac:dyDescent="0.3">
      <c r="A1153" s="40" t="s">
        <v>70</v>
      </c>
      <c r="B1153" s="41" t="str">
        <f ca="1">IFERROR(INDEX(UNSPSCDes,MATCH(INDIRECT(ADDRESS(ROW(),COLUMN()-1,4)),UNSPSCCode,0)),IF(INDIRECT(ADDRESS(ROW(),COLUMN()-1,4))="50131702","Productos de leche o mantequilla de estante",""))</f>
        <v>Productos de leche o mantequilla de estante</v>
      </c>
      <c r="C1153" s="42" t="str">
        <f>IFERROR(VLOOKUP("UD",'[1]Informacion '!P:Q,2,FALSE),"")</f>
        <v>Unidad</v>
      </c>
      <c r="D1153" s="40">
        <v>3</v>
      </c>
      <c r="E1153" s="43">
        <v>385</v>
      </c>
      <c r="F1153" s="44">
        <f t="shared" ca="1" si="35"/>
        <v>1155</v>
      </c>
    </row>
    <row r="1154" spans="1:6" ht="20.399999999999999" x14ac:dyDescent="0.3">
      <c r="A1154" s="40" t="s">
        <v>60</v>
      </c>
      <c r="B1154" s="41" t="str">
        <f ca="1">IFERROR(INDEX(UNSPSCDes,MATCH(INDIRECT(ADDRESS(ROW(),COLUMN()-1,4)),UNSPSCCode,0)),IF(INDIRECT(ADDRESS(ROW(),COLUMN()-1,4))="50151513","Aceites vegetales o  de planta comestibles",""))</f>
        <v>Aceites vegetales o  de planta comestibles</v>
      </c>
      <c r="C1154" s="42" t="str">
        <f>IFERROR(VLOOKUP("GAL",'[1]Informacion '!P:Q,2,FALSE),"")</f>
        <v>Galón</v>
      </c>
      <c r="D1154" s="40">
        <v>2</v>
      </c>
      <c r="E1154" s="43">
        <v>900</v>
      </c>
      <c r="F1154" s="44">
        <f t="shared" ca="1" si="35"/>
        <v>1800</v>
      </c>
    </row>
    <row r="1155" spans="1:6" x14ac:dyDescent="0.3">
      <c r="A1155" s="40" t="s">
        <v>306</v>
      </c>
      <c r="B1155" s="41" t="str">
        <f ca="1">IFERROR(INDEX(UNSPSCDes,MATCH(INDIRECT(ADDRESS(ROW(),COLUMN()-1,4)),UNSPSCCode,0)),IF(INDIRECT(ADDRESS(ROW(),COLUMN()-1,4))="50121538","Pescado almacenado en repisa",""))</f>
        <v>Pescado almacenado en repisa</v>
      </c>
      <c r="C1155" s="42" t="str">
        <f>IFERROR(VLOOKUP("UD",'[1]Informacion '!P:Q,2,FALSE),"")</f>
        <v>Unidad</v>
      </c>
      <c r="D1155" s="40">
        <v>30</v>
      </c>
      <c r="E1155" s="43">
        <v>50</v>
      </c>
      <c r="F1155" s="44">
        <f t="shared" ca="1" si="35"/>
        <v>1500</v>
      </c>
    </row>
    <row r="1156" spans="1:6" x14ac:dyDescent="0.3">
      <c r="A1156" s="30"/>
      <c r="B1156" s="30"/>
      <c r="C1156" s="30"/>
      <c r="D1156" s="30"/>
      <c r="E1156" s="45" t="s">
        <v>52</v>
      </c>
      <c r="F1156" s="46">
        <f ca="1">SUM(Table56[MONTO TOTAL ESTIMADO])</f>
        <v>357440</v>
      </c>
    </row>
    <row r="1157" spans="1:6" ht="15" thickBot="1" x14ac:dyDescent="0.35">
      <c r="A1157" s="30"/>
      <c r="B1157" s="30"/>
      <c r="C1157" s="30"/>
      <c r="D1157" s="30"/>
      <c r="E1157" s="30"/>
      <c r="F1157" s="30"/>
    </row>
    <row r="1158" spans="1:6" ht="21" thickBot="1" x14ac:dyDescent="0.35">
      <c r="A1158" s="31" t="s">
        <v>19</v>
      </c>
      <c r="B1158" s="31" t="s">
        <v>20</v>
      </c>
      <c r="C1158" s="31" t="s">
        <v>21</v>
      </c>
      <c r="D1158" s="31" t="s">
        <v>22</v>
      </c>
      <c r="E1158" s="31" t="s">
        <v>23</v>
      </c>
      <c r="F1158" s="31" t="s">
        <v>24</v>
      </c>
    </row>
    <row r="1159" spans="1:6" ht="21" thickBot="1" x14ac:dyDescent="0.35">
      <c r="A1159" s="12" t="s">
        <v>307</v>
      </c>
      <c r="B1159" s="12" t="s">
        <v>307</v>
      </c>
      <c r="C1159" s="12" t="s">
        <v>27</v>
      </c>
      <c r="D1159" s="12" t="s">
        <v>28</v>
      </c>
      <c r="E1159" s="12" t="s">
        <v>59</v>
      </c>
      <c r="F1159" s="12"/>
    </row>
    <row r="1160" spans="1:6" ht="15" thickBot="1" x14ac:dyDescent="0.35">
      <c r="A1160" s="32" t="s">
        <v>30</v>
      </c>
      <c r="B1160" s="33" t="s">
        <v>31</v>
      </c>
      <c r="C1160" s="34">
        <v>45859</v>
      </c>
      <c r="D1160" s="32" t="s">
        <v>32</v>
      </c>
      <c r="E1160" s="35" t="s">
        <v>33</v>
      </c>
      <c r="F1160" s="36" t="s">
        <v>34</v>
      </c>
    </row>
    <row r="1161" spans="1:6" ht="15" thickBot="1" x14ac:dyDescent="0.35">
      <c r="A1161" s="37"/>
      <c r="B1161" s="33" t="s">
        <v>35</v>
      </c>
      <c r="C1161" s="38">
        <f>IF(C1160="","",IF(AND(MONTH(C1160)&gt;=1,MONTH(C1160)&lt;=3),1,IF(AND(MONTH(C1160)&gt;=4,MONTH(C1160)&lt;=6),2,IF(AND(MONTH(C1160)&gt;=7,MONTH(C1160)&lt;=9),3,4))))</f>
        <v>3</v>
      </c>
      <c r="D1161" s="37"/>
      <c r="E1161" s="35" t="s">
        <v>36</v>
      </c>
      <c r="F1161" s="36" t="s">
        <v>37</v>
      </c>
    </row>
    <row r="1162" spans="1:6" ht="15" thickBot="1" x14ac:dyDescent="0.35">
      <c r="A1162" s="37"/>
      <c r="B1162" s="33" t="s">
        <v>38</v>
      </c>
      <c r="C1162" s="34">
        <v>45863</v>
      </c>
      <c r="D1162" s="37"/>
      <c r="E1162" s="35" t="s">
        <v>39</v>
      </c>
      <c r="F1162" s="36" t="s">
        <v>37</v>
      </c>
    </row>
    <row r="1163" spans="1:6" ht="15" thickBot="1" x14ac:dyDescent="0.35">
      <c r="A1163" s="37"/>
      <c r="B1163" s="33" t="s">
        <v>35</v>
      </c>
      <c r="C1163" s="38">
        <f>IF(C1162="","",IF(AND(MONTH(C1162)&gt;=1,MONTH(C1162)&lt;=3),1,IF(AND(MONTH(C1162)&gt;=4,MONTH(C1162)&lt;=6),2,IF(AND(MONTH(C1162)&gt;=7,MONTH(C1162)&lt;=9),3,4))))</f>
        <v>3</v>
      </c>
      <c r="D1163" s="37"/>
      <c r="E1163" s="35" t="s">
        <v>40</v>
      </c>
      <c r="F1163" s="36"/>
    </row>
    <row r="1164" spans="1:6" ht="15" thickBot="1" x14ac:dyDescent="0.35">
      <c r="A1164" s="30"/>
      <c r="B1164" s="30"/>
      <c r="C1164" s="30"/>
      <c r="D1164" s="30"/>
      <c r="E1164" s="30"/>
      <c r="F1164" s="30"/>
    </row>
    <row r="1165" spans="1:6" ht="15" thickBot="1" x14ac:dyDescent="0.35">
      <c r="A1165" s="39" t="s">
        <v>41</v>
      </c>
      <c r="B1165" s="39" t="s">
        <v>42</v>
      </c>
      <c r="C1165" s="39" t="s">
        <v>43</v>
      </c>
      <c r="D1165" s="39" t="s">
        <v>44</v>
      </c>
      <c r="E1165" s="39" t="s">
        <v>45</v>
      </c>
      <c r="F1165" s="39" t="s">
        <v>46</v>
      </c>
    </row>
    <row r="1166" spans="1:6" x14ac:dyDescent="0.3">
      <c r="A1166" s="40" t="s">
        <v>92</v>
      </c>
      <c r="B1166" s="41" t="str">
        <f ca="1">IFERROR(INDEX(UNSPSCDes,MATCH(INDIRECT(ADDRESS(ROW(),COLUMN()-1,4)),UNSPSCCode,0)),IF(INDIRECT(ADDRESS(ROW(),COLUMN()-1,4))="14111703","Toallas de papel",""))</f>
        <v>Toallas de papel</v>
      </c>
      <c r="C1166" s="42" t="str">
        <f>IFERROR(VLOOKUP("UD",'[1]Informacion '!P:Q,2,FALSE),"")</f>
        <v>Unidad</v>
      </c>
      <c r="D1166" s="40">
        <v>450</v>
      </c>
      <c r="E1166" s="43">
        <v>200</v>
      </c>
      <c r="F1166" s="44">
        <f t="shared" ref="F1166:F1177" ca="1" si="36">INDIRECT(ADDRESS(ROW(),COLUMN()-2,4))*INDIRECT(ADDRESS(ROW(),COLUMN()-1,4))</f>
        <v>90000</v>
      </c>
    </row>
    <row r="1167" spans="1:6" x14ac:dyDescent="0.3">
      <c r="A1167" s="40" t="s">
        <v>92</v>
      </c>
      <c r="B1167" s="41" t="str">
        <f ca="1">IFERROR(INDEX(UNSPSCDes,MATCH(INDIRECT(ADDRESS(ROW(),COLUMN()-1,4)),UNSPSCCode,0)),IF(INDIRECT(ADDRESS(ROW(),COLUMN()-1,4))="14111703","Toallas de papel",""))</f>
        <v>Toallas de papel</v>
      </c>
      <c r="C1167" s="42" t="str">
        <f>IFERROR(VLOOKUP("PAQ",'[1]Informacion '!P:Q,2,FALSE),"")</f>
        <v>Paquete</v>
      </c>
      <c r="D1167" s="40">
        <v>4</v>
      </c>
      <c r="E1167" s="43">
        <v>1000</v>
      </c>
      <c r="F1167" s="44">
        <f t="shared" ca="1" si="36"/>
        <v>4000</v>
      </c>
    </row>
    <row r="1168" spans="1:6" x14ac:dyDescent="0.3">
      <c r="A1168" s="40" t="s">
        <v>93</v>
      </c>
      <c r="B1168" s="41" t="str">
        <f ca="1">IFERROR(INDEX(UNSPSCDes,MATCH(INDIRECT(ADDRESS(ROW(),COLUMN()-1,4)),UNSPSCCode,0)),IF(INDIRECT(ADDRESS(ROW(),COLUMN()-1,4))="14111704","Papel higiénico",""))</f>
        <v>Papel higiénico</v>
      </c>
      <c r="C1168" s="42" t="str">
        <f>IFERROR(VLOOKUP("UD",'[1]Informacion '!P:Q,2,FALSE),"")</f>
        <v>Unidad</v>
      </c>
      <c r="D1168" s="40">
        <v>350</v>
      </c>
      <c r="E1168" s="43">
        <v>180</v>
      </c>
      <c r="F1168" s="44">
        <f t="shared" ca="1" si="36"/>
        <v>63000</v>
      </c>
    </row>
    <row r="1169" spans="1:6" x14ac:dyDescent="0.3">
      <c r="A1169" s="40" t="s">
        <v>94</v>
      </c>
      <c r="B1169" s="41" t="str">
        <f ca="1">IFERROR(INDEX(UNSPSCDes,MATCH(INDIRECT(ADDRESS(ROW(),COLUMN()-1,4)),UNSPSCCode,0)),IF(INDIRECT(ADDRESS(ROW(),COLUMN()-1,4))="46181504","Guantes de protección",""))</f>
        <v>Guantes de protección</v>
      </c>
      <c r="C1169" s="42" t="str">
        <f>IFERROR(VLOOKUP("UD",'[1]Informacion '!P:Q,2,FALSE),"")</f>
        <v>Unidad</v>
      </c>
      <c r="D1169" s="40">
        <v>12</v>
      </c>
      <c r="E1169" s="43">
        <v>90</v>
      </c>
      <c r="F1169" s="44">
        <f t="shared" ca="1" si="36"/>
        <v>1080</v>
      </c>
    </row>
    <row r="1170" spans="1:6" x14ac:dyDescent="0.3">
      <c r="A1170" s="40" t="s">
        <v>95</v>
      </c>
      <c r="B1170" s="41" t="str">
        <f ca="1">IFERROR(INDEX(UNSPSCDes,MATCH(INDIRECT(ADDRESS(ROW(),COLUMN()-1,4)),UNSPSCCode,0)),IF(INDIRECT(ADDRESS(ROW(),COLUMN()-1,4))="47131603","Esponjas",""))</f>
        <v>Esponjas</v>
      </c>
      <c r="C1170" s="42" t="str">
        <f>IFERROR(VLOOKUP("UD",'[1]Informacion '!P:Q,2,FALSE),"")</f>
        <v>Unidad</v>
      </c>
      <c r="D1170" s="40">
        <v>25</v>
      </c>
      <c r="E1170" s="43">
        <v>50</v>
      </c>
      <c r="F1170" s="44">
        <f t="shared" ca="1" si="36"/>
        <v>1250</v>
      </c>
    </row>
    <row r="1171" spans="1:6" x14ac:dyDescent="0.3">
      <c r="A1171" s="40" t="s">
        <v>96</v>
      </c>
      <c r="B1171" s="41" t="str">
        <f ca="1">IFERROR(INDEX(UNSPSCDes,MATCH(INDIRECT(ADDRESS(ROW(),COLUMN()-1,4)),UNSPSCCode,0)),IF(INDIRECT(ADDRESS(ROW(),COLUMN()-1,4))="47121701","Bolsas de basura",""))</f>
        <v>Bolsas de basura</v>
      </c>
      <c r="C1171" s="42" t="str">
        <f>IFERROR(VLOOKUP("MIL",'[1]Informacion '!P:Q,2,FALSE),"")</f>
        <v>Millar</v>
      </c>
      <c r="D1171" s="40">
        <v>10</v>
      </c>
      <c r="E1171" s="43">
        <v>6000</v>
      </c>
      <c r="F1171" s="44">
        <f t="shared" ca="1" si="36"/>
        <v>60000</v>
      </c>
    </row>
    <row r="1172" spans="1:6" x14ac:dyDescent="0.3">
      <c r="A1172" s="40" t="s">
        <v>96</v>
      </c>
      <c r="B1172" s="41" t="str">
        <f ca="1">IFERROR(INDEX(UNSPSCDes,MATCH(INDIRECT(ADDRESS(ROW(),COLUMN()-1,4)),UNSPSCCode,0)),IF(INDIRECT(ADDRESS(ROW(),COLUMN()-1,4))="47121701","Bolsas de basura",""))</f>
        <v>Bolsas de basura</v>
      </c>
      <c r="C1172" s="42" t="str">
        <f>IFERROR(VLOOKUP("MIL",'[1]Informacion '!P:Q,2,FALSE),"")</f>
        <v>Millar</v>
      </c>
      <c r="D1172" s="40">
        <v>7</v>
      </c>
      <c r="E1172" s="43">
        <v>1800</v>
      </c>
      <c r="F1172" s="44">
        <f t="shared" ca="1" si="36"/>
        <v>12600</v>
      </c>
    </row>
    <row r="1173" spans="1:6" x14ac:dyDescent="0.3">
      <c r="A1173" s="40" t="s">
        <v>97</v>
      </c>
      <c r="B1173" s="41" t="str">
        <f ca="1">IFERROR(INDEX(UNSPSCDes,MATCH(INDIRECT(ADDRESS(ROW(),COLUMN()-1,4)),UNSPSCCode,0)),IF(INDIRECT(ADDRESS(ROW(),COLUMN()-1,4))="53131608","Jabones",""))</f>
        <v>Jabones</v>
      </c>
      <c r="C1173" s="42" t="str">
        <f>IFERROR(VLOOKUP("GAL",'[1]Informacion '!P:Q,2,FALSE),"")</f>
        <v>Galón</v>
      </c>
      <c r="D1173" s="40">
        <v>36</v>
      </c>
      <c r="E1173" s="43">
        <v>150</v>
      </c>
      <c r="F1173" s="44">
        <f t="shared" ca="1" si="36"/>
        <v>5400</v>
      </c>
    </row>
    <row r="1174" spans="1:6" x14ac:dyDescent="0.3">
      <c r="A1174" s="40" t="s">
        <v>97</v>
      </c>
      <c r="B1174" s="41" t="str">
        <f ca="1">IFERROR(INDEX(UNSPSCDes,MATCH(INDIRECT(ADDRESS(ROW(),COLUMN()-1,4)),UNSPSCCode,0)),IF(INDIRECT(ADDRESS(ROW(),COLUMN()-1,4))="53131608","Jabones",""))</f>
        <v>Jabones</v>
      </c>
      <c r="C1174" s="42" t="str">
        <f>IFERROR(VLOOKUP("GAL",'[1]Informacion '!P:Q,2,FALSE),"")</f>
        <v>Galón</v>
      </c>
      <c r="D1174" s="40">
        <v>54</v>
      </c>
      <c r="E1174" s="43">
        <v>180</v>
      </c>
      <c r="F1174" s="44">
        <f t="shared" ca="1" si="36"/>
        <v>9720</v>
      </c>
    </row>
    <row r="1175" spans="1:6" x14ac:dyDescent="0.3">
      <c r="A1175" s="40" t="s">
        <v>97</v>
      </c>
      <c r="B1175" s="41" t="str">
        <f ca="1">IFERROR(INDEX(UNSPSCDes,MATCH(INDIRECT(ADDRESS(ROW(),COLUMN()-1,4)),UNSPSCCode,0)),IF(INDIRECT(ADDRESS(ROW(),COLUMN()-1,4))="53131608","Jabones",""))</f>
        <v>Jabones</v>
      </c>
      <c r="C1175" s="42" t="str">
        <f>IFERROR(VLOOKUP("UD",'[1]Informacion '!P:Q,2,FALSE),"")</f>
        <v>Unidad</v>
      </c>
      <c r="D1175" s="40">
        <v>50</v>
      </c>
      <c r="E1175" s="43">
        <v>130</v>
      </c>
      <c r="F1175" s="44">
        <f t="shared" ca="1" si="36"/>
        <v>6500</v>
      </c>
    </row>
    <row r="1176" spans="1:6" x14ac:dyDescent="0.3">
      <c r="A1176" s="40" t="s">
        <v>98</v>
      </c>
      <c r="B1176" s="41" t="str">
        <f ca="1">IFERROR(INDEX(UNSPSCDes,MATCH(INDIRECT(ADDRESS(ROW(),COLUMN()-1,4)),UNSPSCCode,0)),IF(INDIRECT(ADDRESS(ROW(),COLUMN()-1,4))="47131803","Desinfectantes para uso doméstico",""))</f>
        <v>Desinfectantes para uso doméstico</v>
      </c>
      <c r="C1176" s="42" t="str">
        <f>IFERROR(VLOOKUP("GAL",'[1]Informacion '!P:Q,2,FALSE),"")</f>
        <v>Galón</v>
      </c>
      <c r="D1176" s="40">
        <v>250</v>
      </c>
      <c r="E1176" s="43">
        <v>180</v>
      </c>
      <c r="F1176" s="44">
        <f t="shared" ca="1" si="36"/>
        <v>45000</v>
      </c>
    </row>
    <row r="1177" spans="1:6" x14ac:dyDescent="0.3">
      <c r="A1177" s="40" t="s">
        <v>99</v>
      </c>
      <c r="B1177" s="41" t="str">
        <f ca="1">IFERROR(INDEX(UNSPSCDes,MATCH(INDIRECT(ADDRESS(ROW(),COLUMN()-1,4)),UNSPSCCode,0)),IF(INDIRECT(ADDRESS(ROW(),COLUMN()-1,4))="47131807","Blanqueadores",""))</f>
        <v>Blanqueadores</v>
      </c>
      <c r="C1177" s="42" t="str">
        <f>IFERROR(VLOOKUP("GAL",'[1]Informacion '!P:Q,2,FALSE),"")</f>
        <v>Galón</v>
      </c>
      <c r="D1177" s="40">
        <v>250</v>
      </c>
      <c r="E1177" s="43">
        <v>90</v>
      </c>
      <c r="F1177" s="44">
        <f t="shared" ca="1" si="36"/>
        <v>22500</v>
      </c>
    </row>
    <row r="1178" spans="1:6" x14ac:dyDescent="0.3">
      <c r="A1178" s="30"/>
      <c r="B1178" s="30"/>
      <c r="C1178" s="30"/>
      <c r="D1178" s="30"/>
      <c r="E1178" s="45" t="s">
        <v>52</v>
      </c>
      <c r="F1178" s="46">
        <f ca="1">SUM(Table57[MONTO TOTAL ESTIMADO])</f>
        <v>321050</v>
      </c>
    </row>
    <row r="1179" spans="1:6" ht="15" thickBot="1" x14ac:dyDescent="0.35">
      <c r="A1179" s="30"/>
      <c r="B1179" s="30"/>
      <c r="C1179" s="30"/>
      <c r="D1179" s="30"/>
      <c r="E1179" s="30"/>
      <c r="F1179" s="30"/>
    </row>
    <row r="1180" spans="1:6" ht="21" thickBot="1" x14ac:dyDescent="0.35">
      <c r="A1180" s="31" t="s">
        <v>19</v>
      </c>
      <c r="B1180" s="31" t="s">
        <v>20</v>
      </c>
      <c r="C1180" s="31" t="s">
        <v>21</v>
      </c>
      <c r="D1180" s="31" t="s">
        <v>22</v>
      </c>
      <c r="E1180" s="31" t="s">
        <v>23</v>
      </c>
      <c r="F1180" s="31" t="s">
        <v>24</v>
      </c>
    </row>
    <row r="1181" spans="1:6" ht="21" thickBot="1" x14ac:dyDescent="0.35">
      <c r="A1181" s="12" t="s">
        <v>308</v>
      </c>
      <c r="B1181" s="12" t="s">
        <v>308</v>
      </c>
      <c r="C1181" s="12" t="s">
        <v>27</v>
      </c>
      <c r="D1181" s="12" t="s">
        <v>28</v>
      </c>
      <c r="E1181" s="12" t="s">
        <v>59</v>
      </c>
      <c r="F1181" s="12"/>
    </row>
    <row r="1182" spans="1:6" ht="15" thickBot="1" x14ac:dyDescent="0.35">
      <c r="A1182" s="32" t="s">
        <v>30</v>
      </c>
      <c r="B1182" s="33" t="s">
        <v>31</v>
      </c>
      <c r="C1182" s="34">
        <v>45859</v>
      </c>
      <c r="D1182" s="32" t="s">
        <v>32</v>
      </c>
      <c r="E1182" s="35" t="s">
        <v>33</v>
      </c>
      <c r="F1182" s="36" t="s">
        <v>34</v>
      </c>
    </row>
    <row r="1183" spans="1:6" ht="15" thickBot="1" x14ac:dyDescent="0.35">
      <c r="A1183" s="37"/>
      <c r="B1183" s="33" t="s">
        <v>35</v>
      </c>
      <c r="C1183" s="38">
        <f>IF(C1182="","",IF(AND(MONTH(C1182)&gt;=1,MONTH(C1182)&lt;=3),1,IF(AND(MONTH(C1182)&gt;=4,MONTH(C1182)&lt;=6),2,IF(AND(MONTH(C1182)&gt;=7,MONTH(C1182)&lt;=9),3,4))))</f>
        <v>3</v>
      </c>
      <c r="D1183" s="37"/>
      <c r="E1183" s="35" t="s">
        <v>36</v>
      </c>
      <c r="F1183" s="36" t="s">
        <v>37</v>
      </c>
    </row>
    <row r="1184" spans="1:6" ht="15" thickBot="1" x14ac:dyDescent="0.35">
      <c r="A1184" s="37"/>
      <c r="B1184" s="33" t="s">
        <v>38</v>
      </c>
      <c r="C1184" s="34">
        <v>45863</v>
      </c>
      <c r="D1184" s="37"/>
      <c r="E1184" s="35" t="s">
        <v>39</v>
      </c>
      <c r="F1184" s="36" t="s">
        <v>37</v>
      </c>
    </row>
    <row r="1185" spans="1:6" ht="15" thickBot="1" x14ac:dyDescent="0.35">
      <c r="A1185" s="37"/>
      <c r="B1185" s="33" t="s">
        <v>35</v>
      </c>
      <c r="C1185" s="38">
        <f>IF(C1184="","",IF(AND(MONTH(C1184)&gt;=1,MONTH(C1184)&lt;=3),1,IF(AND(MONTH(C1184)&gt;=4,MONTH(C1184)&lt;=6),2,IF(AND(MONTH(C1184)&gt;=7,MONTH(C1184)&lt;=9),3,4))))</f>
        <v>3</v>
      </c>
      <c r="D1185" s="37"/>
      <c r="E1185" s="35" t="s">
        <v>40</v>
      </c>
      <c r="F1185" s="36"/>
    </row>
    <row r="1186" spans="1:6" ht="15" thickBot="1" x14ac:dyDescent="0.35">
      <c r="A1186" s="30"/>
      <c r="B1186" s="30"/>
      <c r="C1186" s="30"/>
      <c r="D1186" s="30"/>
      <c r="E1186" s="30"/>
      <c r="F1186" s="30"/>
    </row>
    <row r="1187" spans="1:6" ht="15" thickBot="1" x14ac:dyDescent="0.35">
      <c r="A1187" s="39" t="s">
        <v>41</v>
      </c>
      <c r="B1187" s="39" t="s">
        <v>42</v>
      </c>
      <c r="C1187" s="39" t="s">
        <v>43</v>
      </c>
      <c r="D1187" s="39" t="s">
        <v>44</v>
      </c>
      <c r="E1187" s="39" t="s">
        <v>45</v>
      </c>
      <c r="F1187" s="39" t="s">
        <v>46</v>
      </c>
    </row>
    <row r="1188" spans="1:6" x14ac:dyDescent="0.3">
      <c r="A1188" s="40" t="s">
        <v>111</v>
      </c>
      <c r="B1188" s="41" t="str">
        <f ca="1">IFERROR(INDEX(UNSPSCDes,MATCH(INDIRECT(ADDRESS(ROW(),COLUMN()-1,4)),UNSPSCCode,0)),IF(INDIRECT(ADDRESS(ROW(),COLUMN()-1,4))="10121503","Maíz para forraje",""))</f>
        <v>Maíz para forraje</v>
      </c>
      <c r="C1188" s="42" t="str">
        <f>IFERROR(VLOOKUP("UD",'[1]Informacion '!P:Q,2,FALSE),"")</f>
        <v>Unidad</v>
      </c>
      <c r="D1188" s="40">
        <v>360</v>
      </c>
      <c r="E1188" s="43">
        <v>900</v>
      </c>
      <c r="F1188" s="44">
        <f t="shared" ref="F1188:F1217" ca="1" si="37">INDIRECT(ADDRESS(ROW(),COLUMN()-2,4))*INDIRECT(ADDRESS(ROW(),COLUMN()-1,4))</f>
        <v>324000</v>
      </c>
    </row>
    <row r="1189" spans="1:6" x14ac:dyDescent="0.3">
      <c r="A1189" s="40" t="s">
        <v>112</v>
      </c>
      <c r="B1189" s="41" t="str">
        <f ca="1">IFERROR(INDEX(UNSPSCDes,MATCH(INDIRECT(ADDRESS(ROW(),COLUMN()-1,4)),UNSPSCCode,0)),IF(INDIRECT(ADDRESS(ROW(),COLUMN()-1,4))="10121501","Salvado de trigo puro",""))</f>
        <v>Salvado de trigo puro</v>
      </c>
      <c r="C1189" s="42" t="str">
        <f>IFERROR(VLOOKUP("Q",'[1]Informacion '!P:Q,2,FALSE),"")</f>
        <v>Quintal</v>
      </c>
      <c r="D1189" s="40">
        <v>180</v>
      </c>
      <c r="E1189" s="43">
        <v>650</v>
      </c>
      <c r="F1189" s="44">
        <f t="shared" ca="1" si="37"/>
        <v>117000</v>
      </c>
    </row>
    <row r="1190" spans="1:6" x14ac:dyDescent="0.3">
      <c r="A1190" s="40" t="s">
        <v>111</v>
      </c>
      <c r="B1190" s="41" t="str">
        <f ca="1">IFERROR(INDEX(UNSPSCDes,MATCH(INDIRECT(ADDRESS(ROW(),COLUMN()-1,4)),UNSPSCCode,0)),IF(INDIRECT(ADDRESS(ROW(),COLUMN()-1,4))="10121503","Maíz para forraje",""))</f>
        <v>Maíz para forraje</v>
      </c>
      <c r="C1190" s="42" t="str">
        <f>IFERROR(VLOOKUP("Q",'[1]Informacion '!P:Q,2,FALSE),"")</f>
        <v>Quintal</v>
      </c>
      <c r="D1190" s="40">
        <v>180</v>
      </c>
      <c r="E1190" s="43">
        <v>1000</v>
      </c>
      <c r="F1190" s="44">
        <f t="shared" ca="1" si="37"/>
        <v>180000</v>
      </c>
    </row>
    <row r="1191" spans="1:6" x14ac:dyDescent="0.3">
      <c r="A1191" s="40" t="s">
        <v>111</v>
      </c>
      <c r="B1191" s="41" t="str">
        <f ca="1">IFERROR(INDEX(UNSPSCDes,MATCH(INDIRECT(ADDRESS(ROW(),COLUMN()-1,4)),UNSPSCCode,0)),IF(INDIRECT(ADDRESS(ROW(),COLUMN()-1,4))="10121503","Maíz para forraje",""))</f>
        <v>Maíz para forraje</v>
      </c>
      <c r="C1191" s="42" t="str">
        <f>IFERROR(VLOOKUP("Q",'[1]Informacion '!P:Q,2,FALSE),"")</f>
        <v>Quintal</v>
      </c>
      <c r="D1191" s="40">
        <v>180</v>
      </c>
      <c r="E1191" s="43">
        <v>1800</v>
      </c>
      <c r="F1191" s="44">
        <f t="shared" ca="1" si="37"/>
        <v>324000</v>
      </c>
    </row>
    <row r="1192" spans="1:6" x14ac:dyDescent="0.3">
      <c r="A1192" s="40" t="s">
        <v>111</v>
      </c>
      <c r="B1192" s="41" t="str">
        <f ca="1">IFERROR(INDEX(UNSPSCDes,MATCH(INDIRECT(ADDRESS(ROW(),COLUMN()-1,4)),UNSPSCCode,0)),IF(INDIRECT(ADDRESS(ROW(),COLUMN()-1,4))="10121503","Maíz para forraje",""))</f>
        <v>Maíz para forraje</v>
      </c>
      <c r="C1192" s="42" t="str">
        <f>IFERROR(VLOOKUP("Q",'[1]Informacion '!P:Q,2,FALSE),"")</f>
        <v>Quintal</v>
      </c>
      <c r="D1192" s="40">
        <v>60</v>
      </c>
      <c r="E1192" s="43">
        <v>1300</v>
      </c>
      <c r="F1192" s="44">
        <f t="shared" ca="1" si="37"/>
        <v>78000</v>
      </c>
    </row>
    <row r="1193" spans="1:6" x14ac:dyDescent="0.3">
      <c r="A1193" s="40" t="s">
        <v>113</v>
      </c>
      <c r="B1193" s="41" t="str">
        <f ca="1">IFERROR(INDEX(UNSPSCDes,MATCH(INDIRECT(ADDRESS(ROW(),COLUMN()-1,4)),UNSPSCCode,0)),IF(INDIRECT(ADDRESS(ROW(),COLUMN()-1,4))="10121702","Alimento granulado para peces",""))</f>
        <v>Alimento granulado para peces</v>
      </c>
      <c r="C1193" s="42" t="str">
        <f>IFERROR(VLOOKUP("UD",'[1]Informacion '!P:Q,2,FALSE),"")</f>
        <v>Unidad</v>
      </c>
      <c r="D1193" s="40">
        <v>6</v>
      </c>
      <c r="E1193" s="43">
        <v>2200</v>
      </c>
      <c r="F1193" s="44">
        <f t="shared" ca="1" si="37"/>
        <v>13200</v>
      </c>
    </row>
    <row r="1194" spans="1:6" x14ac:dyDescent="0.3">
      <c r="A1194" s="40" t="s">
        <v>112</v>
      </c>
      <c r="B1194" s="41" t="str">
        <f ca="1">IFERROR(INDEX(UNSPSCDes,MATCH(INDIRECT(ADDRESS(ROW(),COLUMN()-1,4)),UNSPSCCode,0)),IF(INDIRECT(ADDRESS(ROW(),COLUMN()-1,4))="10121501","Salvado de trigo puro",""))</f>
        <v>Salvado de trigo puro</v>
      </c>
      <c r="C1194" s="42" t="str">
        <f>IFERROR(VLOOKUP("UD",'[1]Informacion '!P:Q,2,FALSE),"")</f>
        <v>Unidad</v>
      </c>
      <c r="D1194" s="40">
        <v>40</v>
      </c>
      <c r="E1194" s="43">
        <v>2000</v>
      </c>
      <c r="F1194" s="44">
        <f t="shared" ca="1" si="37"/>
        <v>80000</v>
      </c>
    </row>
    <row r="1195" spans="1:6" x14ac:dyDescent="0.3">
      <c r="A1195" s="40" t="s">
        <v>114</v>
      </c>
      <c r="B1195" s="41" t="str">
        <f ca="1">IFERROR(INDEX(UNSPSCDes,MATCH(INDIRECT(ADDRESS(ROW(),COLUMN()-1,4)),UNSPSCCode,0)),IF(INDIRECT(ADDRESS(ROW(),COLUMN()-1,4))="10121801","Comida seca para perros",""))</f>
        <v>Comida seca para perros</v>
      </c>
      <c r="C1195" s="42" t="str">
        <f>IFERROR(VLOOKUP("UD",'[1]Informacion '!P:Q,2,FALSE),"")</f>
        <v>Unidad</v>
      </c>
      <c r="D1195" s="40">
        <v>2</v>
      </c>
      <c r="E1195" s="43">
        <v>12000</v>
      </c>
      <c r="F1195" s="44">
        <f t="shared" ca="1" si="37"/>
        <v>24000</v>
      </c>
    </row>
    <row r="1196" spans="1:6" x14ac:dyDescent="0.3">
      <c r="A1196" s="40" t="s">
        <v>114</v>
      </c>
      <c r="B1196" s="41" t="str">
        <f ca="1">IFERROR(INDEX(UNSPSCDes,MATCH(INDIRECT(ADDRESS(ROW(),COLUMN()-1,4)),UNSPSCCode,0)),IF(INDIRECT(ADDRESS(ROW(),COLUMN()-1,4))="10121801","Comida seca para perros",""))</f>
        <v>Comida seca para perros</v>
      </c>
      <c r="C1196" s="42" t="str">
        <f>IFERROR(VLOOKUP("UD",'[1]Informacion '!P:Q,2,FALSE),"")</f>
        <v>Unidad</v>
      </c>
      <c r="D1196" s="40">
        <v>20</v>
      </c>
      <c r="E1196" s="43">
        <v>2500</v>
      </c>
      <c r="F1196" s="44">
        <f t="shared" ca="1" si="37"/>
        <v>50000</v>
      </c>
    </row>
    <row r="1197" spans="1:6" ht="20.399999999999999" x14ac:dyDescent="0.3">
      <c r="A1197" s="40" t="s">
        <v>62</v>
      </c>
      <c r="B1197" s="41" t="str">
        <f ca="1">IFERROR(INDEX(UNSPSCDes,MATCH(INDIRECT(ADDRESS(ROW(),COLUMN()-1,4)),UNSPSCCode,0)),IF(INDIRECT(ADDRESS(ROW(),COLUMN()-1,4))="50161509","Azucares naturales o productos endulzantes",""))</f>
        <v>Azucares naturales o productos endulzantes</v>
      </c>
      <c r="C1197" s="42" t="str">
        <f>IFERROR(VLOOKUP("UD",'[1]Informacion '!P:Q,2,FALSE),"")</f>
        <v>Unidad</v>
      </c>
      <c r="D1197" s="40">
        <v>4</v>
      </c>
      <c r="E1197" s="43">
        <v>7000</v>
      </c>
      <c r="F1197" s="44">
        <f t="shared" ca="1" si="37"/>
        <v>28000</v>
      </c>
    </row>
    <row r="1198" spans="1:6" x14ac:dyDescent="0.3">
      <c r="A1198" s="40" t="s">
        <v>115</v>
      </c>
      <c r="B1198" s="41" t="str">
        <f ca="1">IFERROR(INDEX(UNSPSCDes,MATCH(INDIRECT(ADDRESS(ROW(),COLUMN()-1,4)),UNSPSCCode,0)),IF(INDIRECT(ADDRESS(ROW(),COLUMN()-1,4))="10121504","Sorgo para forraje",""))</f>
        <v>Sorgo para forraje</v>
      </c>
      <c r="C1198" s="42" t="str">
        <f>IFERROR(VLOOKUP("UD",'[1]Informacion '!P:Q,2,FALSE),"")</f>
        <v>Unidad</v>
      </c>
      <c r="D1198" s="40">
        <v>6</v>
      </c>
      <c r="E1198" s="43">
        <v>7000</v>
      </c>
      <c r="F1198" s="44">
        <f t="shared" ca="1" si="37"/>
        <v>42000</v>
      </c>
    </row>
    <row r="1199" spans="1:6" x14ac:dyDescent="0.3">
      <c r="A1199" s="40" t="s">
        <v>116</v>
      </c>
      <c r="B1199" s="41" t="str">
        <f ca="1">IFERROR(INDEX(UNSPSCDes,MATCH(INDIRECT(ADDRESS(ROW(),COLUMN()-1,4)),UNSPSCCode,0)),IF(INDIRECT(ADDRESS(ROW(),COLUMN()-1,4))="10171503","Harina de pescado",""))</f>
        <v>Harina de pescado</v>
      </c>
      <c r="C1199" s="42" t="str">
        <f>IFERROR(VLOOKUP("UD",'[1]Informacion '!P:Q,2,FALSE),"")</f>
        <v>Unidad</v>
      </c>
      <c r="D1199" s="40">
        <v>6</v>
      </c>
      <c r="E1199" s="43">
        <v>3500</v>
      </c>
      <c r="F1199" s="44">
        <f t="shared" ca="1" si="37"/>
        <v>21000</v>
      </c>
    </row>
    <row r="1200" spans="1:6" x14ac:dyDescent="0.3">
      <c r="A1200" s="40" t="s">
        <v>114</v>
      </c>
      <c r="B1200" s="41" t="str">
        <f ca="1">IFERROR(INDEX(UNSPSCDes,MATCH(INDIRECT(ADDRESS(ROW(),COLUMN()-1,4)),UNSPSCCode,0)),IF(INDIRECT(ADDRESS(ROW(),COLUMN()-1,4))="10121801","Comida seca para perros",""))</f>
        <v>Comida seca para perros</v>
      </c>
      <c r="C1200" s="42" t="str">
        <f>IFERROR(VLOOKUP("UD",'[1]Informacion '!P:Q,2,FALSE),"")</f>
        <v>Unidad</v>
      </c>
      <c r="D1200" s="40">
        <v>10</v>
      </c>
      <c r="E1200" s="43">
        <v>3800</v>
      </c>
      <c r="F1200" s="44">
        <f t="shared" ca="1" si="37"/>
        <v>38000</v>
      </c>
    </row>
    <row r="1201" spans="1:6" x14ac:dyDescent="0.3">
      <c r="A1201" s="40" t="s">
        <v>117</v>
      </c>
      <c r="B1201" s="41" t="str">
        <f ca="1">IFERROR(INDEX(UNSPSCDes,MATCH(INDIRECT(ADDRESS(ROW(),COLUMN()-1,4)),UNSPSCCode,0)),IF(INDIRECT(ADDRESS(ROW(),COLUMN()-1,4))="10122102","Comida para visones",""))</f>
        <v>Comida para visones</v>
      </c>
      <c r="C1201" s="42" t="str">
        <f>IFERROR(VLOOKUP("UD",'[1]Informacion '!P:Q,2,FALSE),"")</f>
        <v>Unidad</v>
      </c>
      <c r="D1201" s="40">
        <v>1</v>
      </c>
      <c r="E1201" s="43">
        <v>6000</v>
      </c>
      <c r="F1201" s="44">
        <f t="shared" ca="1" si="37"/>
        <v>6000</v>
      </c>
    </row>
    <row r="1202" spans="1:6" x14ac:dyDescent="0.3">
      <c r="A1202" s="40" t="s">
        <v>118</v>
      </c>
      <c r="B1202" s="41" t="str">
        <f ca="1">IFERROR(INDEX(UNSPSCDes,MATCH(INDIRECT(ADDRESS(ROW(),COLUMN()-1,4)),UNSPSCCode,0)),IF(INDIRECT(ADDRESS(ROW(),COLUMN()-1,4))="10121804","Comida seca para gatos",""))</f>
        <v>Comida seca para gatos</v>
      </c>
      <c r="C1202" s="42" t="str">
        <f>IFERROR(VLOOKUP("UD",'[1]Informacion '!P:Q,2,FALSE),"")</f>
        <v>Unidad</v>
      </c>
      <c r="D1202" s="40">
        <v>5</v>
      </c>
      <c r="E1202" s="43">
        <v>2100</v>
      </c>
      <c r="F1202" s="44">
        <f t="shared" ca="1" si="37"/>
        <v>10500</v>
      </c>
    </row>
    <row r="1203" spans="1:6" x14ac:dyDescent="0.3">
      <c r="A1203" s="40" t="s">
        <v>119</v>
      </c>
      <c r="B1203" s="41" t="str">
        <f ca="1">IFERROR(INDEX(UNSPSCDes,MATCH(INDIRECT(ADDRESS(ROW(),COLUMN()-1,4)),UNSPSCCode,0)),IF(INDIRECT(ADDRESS(ROW(),COLUMN()-1,4))="10121604","Alimento avícola",""))</f>
        <v>Alimento avícola</v>
      </c>
      <c r="C1203" s="42" t="str">
        <f>IFERROR(VLOOKUP("UD",'[1]Informacion '!P:Q,2,FALSE),"")</f>
        <v>Unidad</v>
      </c>
      <c r="D1203" s="40">
        <v>10</v>
      </c>
      <c r="E1203" s="43">
        <v>3000</v>
      </c>
      <c r="F1203" s="44">
        <f t="shared" ca="1" si="37"/>
        <v>30000</v>
      </c>
    </row>
    <row r="1204" spans="1:6" x14ac:dyDescent="0.3">
      <c r="A1204" s="40" t="s">
        <v>119</v>
      </c>
      <c r="B1204" s="41" t="str">
        <f ca="1">IFERROR(INDEX(UNSPSCDes,MATCH(INDIRECT(ADDRESS(ROW(),COLUMN()-1,4)),UNSPSCCode,0)),IF(INDIRECT(ADDRESS(ROW(),COLUMN()-1,4))="10121604","Alimento avícola",""))</f>
        <v>Alimento avícola</v>
      </c>
      <c r="C1204" s="42" t="str">
        <f>IFERROR(VLOOKUP("UD",'[1]Informacion '!P:Q,2,FALSE),"")</f>
        <v>Unidad</v>
      </c>
      <c r="D1204" s="40">
        <v>4</v>
      </c>
      <c r="E1204" s="43">
        <v>1700</v>
      </c>
      <c r="F1204" s="44">
        <f t="shared" ca="1" si="37"/>
        <v>6800</v>
      </c>
    </row>
    <row r="1205" spans="1:6" x14ac:dyDescent="0.3">
      <c r="A1205" s="40" t="s">
        <v>119</v>
      </c>
      <c r="B1205" s="41" t="str">
        <f ca="1">IFERROR(INDEX(UNSPSCDes,MATCH(INDIRECT(ADDRESS(ROW(),COLUMN()-1,4)),UNSPSCCode,0)),IF(INDIRECT(ADDRESS(ROW(),COLUMN()-1,4))="10121604","Alimento avícola",""))</f>
        <v>Alimento avícola</v>
      </c>
      <c r="C1205" s="42" t="str">
        <f>IFERROR(VLOOKUP("UD",'[1]Informacion '!P:Q,2,FALSE),"")</f>
        <v>Unidad</v>
      </c>
      <c r="D1205" s="40">
        <v>4</v>
      </c>
      <c r="E1205" s="43">
        <v>1700</v>
      </c>
      <c r="F1205" s="44">
        <f t="shared" ca="1" si="37"/>
        <v>6800</v>
      </c>
    </row>
    <row r="1206" spans="1:6" x14ac:dyDescent="0.3">
      <c r="A1206" s="40" t="s">
        <v>112</v>
      </c>
      <c r="B1206" s="41" t="str">
        <f ca="1">IFERROR(INDEX(UNSPSCDes,MATCH(INDIRECT(ADDRESS(ROW(),COLUMN()-1,4)),UNSPSCCode,0)),IF(INDIRECT(ADDRESS(ROW(),COLUMN()-1,4))="10121501","Salvado de trigo puro",""))</f>
        <v>Salvado de trigo puro</v>
      </c>
      <c r="C1206" s="42" t="str">
        <f>IFERROR(VLOOKUP("UD",'[1]Informacion '!P:Q,2,FALSE),"")</f>
        <v>Unidad</v>
      </c>
      <c r="D1206" s="40">
        <v>6</v>
      </c>
      <c r="E1206" s="43">
        <v>1800</v>
      </c>
      <c r="F1206" s="44">
        <f t="shared" ca="1" si="37"/>
        <v>10800</v>
      </c>
    </row>
    <row r="1207" spans="1:6" x14ac:dyDescent="0.3">
      <c r="A1207" s="40" t="s">
        <v>117</v>
      </c>
      <c r="B1207" s="41" t="str">
        <f ca="1">IFERROR(INDEX(UNSPSCDes,MATCH(INDIRECT(ADDRESS(ROW(),COLUMN()-1,4)),UNSPSCCode,0)),IF(INDIRECT(ADDRESS(ROW(),COLUMN()-1,4))="10122102","Comida para visones",""))</f>
        <v>Comida para visones</v>
      </c>
      <c r="C1207" s="42" t="str">
        <f>IFERROR(VLOOKUP("UD",'[1]Informacion '!P:Q,2,FALSE),"")</f>
        <v>Unidad</v>
      </c>
      <c r="D1207" s="40">
        <v>40</v>
      </c>
      <c r="E1207" s="43">
        <v>2000</v>
      </c>
      <c r="F1207" s="44">
        <f t="shared" ca="1" si="37"/>
        <v>80000</v>
      </c>
    </row>
    <row r="1208" spans="1:6" x14ac:dyDescent="0.3">
      <c r="A1208" s="40" t="s">
        <v>112</v>
      </c>
      <c r="B1208" s="41" t="str">
        <f ca="1">IFERROR(INDEX(UNSPSCDes,MATCH(INDIRECT(ADDRESS(ROW(),COLUMN()-1,4)),UNSPSCCode,0)),IF(INDIRECT(ADDRESS(ROW(),COLUMN()-1,4))="10121501","Salvado de trigo puro",""))</f>
        <v>Salvado de trigo puro</v>
      </c>
      <c r="C1208" s="42" t="str">
        <f>IFERROR(VLOOKUP("UD",'[1]Informacion '!P:Q,2,FALSE),"")</f>
        <v>Unidad</v>
      </c>
      <c r="D1208" s="40">
        <v>10</v>
      </c>
      <c r="E1208" s="43">
        <v>250</v>
      </c>
      <c r="F1208" s="44">
        <f t="shared" ca="1" si="37"/>
        <v>2500</v>
      </c>
    </row>
    <row r="1209" spans="1:6" x14ac:dyDescent="0.3">
      <c r="A1209" s="40" t="s">
        <v>309</v>
      </c>
      <c r="B1209" s="41" t="str">
        <f ca="1">IFERROR(INDEX(UNSPSCDes,MATCH(INDIRECT(ADDRESS(ROW(),COLUMN()-1,4)),UNSPSCCode,0)),IF(INDIRECT(ADDRESS(ROW(),COLUMN()-1,4))="10121901","Comida granulada para roedores",""))</f>
        <v>Comida granulada para roedores</v>
      </c>
      <c r="C1209" s="42" t="str">
        <f>IFERROR(VLOOKUP("UD",'[1]Informacion '!P:Q,2,FALSE),"")</f>
        <v>Unidad</v>
      </c>
      <c r="D1209" s="40">
        <v>15</v>
      </c>
      <c r="E1209" s="43">
        <v>12000</v>
      </c>
      <c r="F1209" s="44">
        <f t="shared" ca="1" si="37"/>
        <v>180000</v>
      </c>
    </row>
    <row r="1210" spans="1:6" x14ac:dyDescent="0.3">
      <c r="A1210" s="40" t="s">
        <v>119</v>
      </c>
      <c r="B1210" s="41" t="str">
        <f ca="1">IFERROR(INDEX(UNSPSCDes,MATCH(INDIRECT(ADDRESS(ROW(),COLUMN()-1,4)),UNSPSCCode,0)),IF(INDIRECT(ADDRESS(ROW(),COLUMN()-1,4))="10121604","Alimento avícola",""))</f>
        <v>Alimento avícola</v>
      </c>
      <c r="C1210" s="42" t="str">
        <f>IFERROR(VLOOKUP("UD",'[1]Informacion '!P:Q,2,FALSE),"")</f>
        <v>Unidad</v>
      </c>
      <c r="D1210" s="40">
        <v>2</v>
      </c>
      <c r="E1210" s="43">
        <v>11000</v>
      </c>
      <c r="F1210" s="44">
        <f t="shared" ca="1" si="37"/>
        <v>22000</v>
      </c>
    </row>
    <row r="1211" spans="1:6" x14ac:dyDescent="0.3">
      <c r="A1211" s="40" t="s">
        <v>310</v>
      </c>
      <c r="B1211" s="41" t="str">
        <f ca="1">IFERROR(INDEX(UNSPSCDes,MATCH(INDIRECT(ADDRESS(ROW(),COLUMN()-1,4)),UNSPSCCode,0)),IF(INDIRECT(ADDRESS(ROW(),COLUMN()-1,4))="10122103","Comida para monos",""))</f>
        <v>Comida para monos</v>
      </c>
      <c r="C1211" s="42" t="str">
        <f>IFERROR(VLOOKUP("UD",'[1]Informacion '!P:Q,2,FALSE),"")</f>
        <v>Unidad</v>
      </c>
      <c r="D1211" s="40">
        <v>5</v>
      </c>
      <c r="E1211" s="43">
        <v>8500</v>
      </c>
      <c r="F1211" s="44">
        <f t="shared" ca="1" si="37"/>
        <v>42500</v>
      </c>
    </row>
    <row r="1212" spans="1:6" x14ac:dyDescent="0.3">
      <c r="A1212" s="40" t="s">
        <v>119</v>
      </c>
      <c r="B1212" s="41" t="str">
        <f ca="1">IFERROR(INDEX(UNSPSCDes,MATCH(INDIRECT(ADDRESS(ROW(),COLUMN()-1,4)),UNSPSCCode,0)),IF(INDIRECT(ADDRESS(ROW(),COLUMN()-1,4))="10121604","Alimento avícola",""))</f>
        <v>Alimento avícola</v>
      </c>
      <c r="C1212" s="42" t="str">
        <f>IFERROR(VLOOKUP("UD",'[1]Informacion '!P:Q,2,FALSE),"")</f>
        <v>Unidad</v>
      </c>
      <c r="D1212" s="40">
        <v>2</v>
      </c>
      <c r="E1212" s="43">
        <v>2500</v>
      </c>
      <c r="F1212" s="44">
        <f t="shared" ca="1" si="37"/>
        <v>5000</v>
      </c>
    </row>
    <row r="1213" spans="1:6" ht="20.399999999999999" x14ac:dyDescent="0.3">
      <c r="A1213" s="40" t="s">
        <v>311</v>
      </c>
      <c r="B1213" s="41" t="str">
        <f ca="1">IFERROR(INDEX(UNSPSCDes,MATCH(INDIRECT(ADDRESS(ROW(),COLUMN()-1,4)),UNSPSCCode,0)),IF(INDIRECT(ADDRESS(ROW(),COLUMN()-1,4))="10121603","Pasa bocas o comida recreacional para aves",""))</f>
        <v>Pasa bocas o comida recreacional para aves</v>
      </c>
      <c r="C1213" s="42" t="str">
        <f>IFERROR(VLOOKUP("UD",'[1]Informacion '!P:Q,2,FALSE),"")</f>
        <v>Unidad</v>
      </c>
      <c r="D1213" s="40">
        <v>2</v>
      </c>
      <c r="E1213" s="43">
        <v>2300</v>
      </c>
      <c r="F1213" s="44">
        <f t="shared" ca="1" si="37"/>
        <v>4600</v>
      </c>
    </row>
    <row r="1214" spans="1:6" x14ac:dyDescent="0.3">
      <c r="A1214" s="40" t="s">
        <v>312</v>
      </c>
      <c r="B1214" s="41" t="str">
        <f ca="1">IFERROR(INDEX(UNSPSCDes,MATCH(INDIRECT(ADDRESS(ROW(),COLUMN()-1,4)),UNSPSCCode,0)),IF(INDIRECT(ADDRESS(ROW(),COLUMN()-1,4))="10121506","Tortas oleaginosas",""))</f>
        <v>Tortas oleaginosas</v>
      </c>
      <c r="C1214" s="42" t="str">
        <f>IFERROR(VLOOKUP("UD",'[1]Informacion '!P:Q,2,FALSE),"")</f>
        <v>Unidad</v>
      </c>
      <c r="D1214" s="40">
        <v>10</v>
      </c>
      <c r="E1214" s="43">
        <v>1000</v>
      </c>
      <c r="F1214" s="44">
        <f t="shared" ca="1" si="37"/>
        <v>10000</v>
      </c>
    </row>
    <row r="1215" spans="1:6" x14ac:dyDescent="0.3">
      <c r="A1215" s="40" t="s">
        <v>313</v>
      </c>
      <c r="B1215" s="41" t="str">
        <f ca="1">IFERROR(INDEX(UNSPSCDes,MATCH(INDIRECT(ADDRESS(ROW(),COLUMN()-1,4)),UNSPSCCode,0)),IF(INDIRECT(ADDRESS(ROW(),COLUMN()-1,4))="10121502","Avena para forraje",""))</f>
        <v>Avena para forraje</v>
      </c>
      <c r="C1215" s="42" t="str">
        <f>IFERROR(VLOOKUP("UD",'[1]Informacion '!P:Q,2,FALSE),"")</f>
        <v>Unidad</v>
      </c>
      <c r="D1215" s="40">
        <v>2</v>
      </c>
      <c r="E1215" s="43">
        <v>2500</v>
      </c>
      <c r="F1215" s="44">
        <f t="shared" ca="1" si="37"/>
        <v>5000</v>
      </c>
    </row>
    <row r="1216" spans="1:6" x14ac:dyDescent="0.3">
      <c r="A1216" s="40" t="s">
        <v>314</v>
      </c>
      <c r="B1216" s="41" t="str">
        <f ca="1">IFERROR(INDEX(UNSPSCDes,MATCH(INDIRECT(ADDRESS(ROW(),COLUMN()-1,4)),UNSPSCCode,0)),IF(INDIRECT(ADDRESS(ROW(),COLUMN()-1,4))="10121602","Alpiste",""))</f>
        <v>Alpiste</v>
      </c>
      <c r="C1216" s="42" t="str">
        <f>IFERROR(VLOOKUP("UD",'[1]Informacion '!P:Q,2,FALSE),"")</f>
        <v>Unidad</v>
      </c>
      <c r="D1216" s="40">
        <v>2</v>
      </c>
      <c r="E1216" s="43">
        <v>3000</v>
      </c>
      <c r="F1216" s="44">
        <f t="shared" ca="1" si="37"/>
        <v>6000</v>
      </c>
    </row>
    <row r="1217" spans="1:6" x14ac:dyDescent="0.3">
      <c r="A1217" s="40" t="s">
        <v>115</v>
      </c>
      <c r="B1217" s="41" t="str">
        <f ca="1">IFERROR(INDEX(UNSPSCDes,MATCH(INDIRECT(ADDRESS(ROW(),COLUMN()-1,4)),UNSPSCCode,0)),IF(INDIRECT(ADDRESS(ROW(),COLUMN()-1,4))="10121504","Sorgo para forraje",""))</f>
        <v>Sorgo para forraje</v>
      </c>
      <c r="C1217" s="42" t="str">
        <f>IFERROR(VLOOKUP("UD",'[1]Informacion '!P:Q,2,FALSE),"")</f>
        <v>Unidad</v>
      </c>
      <c r="D1217" s="40">
        <v>6</v>
      </c>
      <c r="E1217" s="43">
        <v>2500</v>
      </c>
      <c r="F1217" s="44">
        <f t="shared" ca="1" si="37"/>
        <v>15000</v>
      </c>
    </row>
    <row r="1218" spans="1:6" x14ac:dyDescent="0.3">
      <c r="A1218" s="30"/>
      <c r="B1218" s="30"/>
      <c r="C1218" s="30"/>
      <c r="D1218" s="30"/>
      <c r="E1218" s="45" t="s">
        <v>52</v>
      </c>
      <c r="F1218" s="46">
        <f ca="1">SUM(Table58[MONTO TOTAL ESTIMADO])</f>
        <v>1762700</v>
      </c>
    </row>
    <row r="1219" spans="1:6" ht="15" thickBot="1" x14ac:dyDescent="0.35">
      <c r="A1219" s="30"/>
      <c r="B1219" s="30"/>
      <c r="C1219" s="30"/>
      <c r="D1219" s="30"/>
      <c r="E1219" s="30"/>
      <c r="F1219" s="30"/>
    </row>
    <row r="1220" spans="1:6" ht="21" thickBot="1" x14ac:dyDescent="0.35">
      <c r="A1220" s="31" t="s">
        <v>19</v>
      </c>
      <c r="B1220" s="31" t="s">
        <v>20</v>
      </c>
      <c r="C1220" s="31" t="s">
        <v>21</v>
      </c>
      <c r="D1220" s="31" t="s">
        <v>22</v>
      </c>
      <c r="E1220" s="31" t="s">
        <v>23</v>
      </c>
      <c r="F1220" s="31" t="s">
        <v>24</v>
      </c>
    </row>
    <row r="1221" spans="1:6" ht="21" thickBot="1" x14ac:dyDescent="0.35">
      <c r="A1221" s="12" t="s">
        <v>315</v>
      </c>
      <c r="B1221" s="12" t="s">
        <v>315</v>
      </c>
      <c r="C1221" s="12" t="s">
        <v>27</v>
      </c>
      <c r="D1221" s="12" t="s">
        <v>28</v>
      </c>
      <c r="E1221" s="12" t="s">
        <v>59</v>
      </c>
      <c r="F1221" s="12"/>
    </row>
    <row r="1222" spans="1:6" ht="15" thickBot="1" x14ac:dyDescent="0.35">
      <c r="A1222" s="32" t="s">
        <v>30</v>
      </c>
      <c r="B1222" s="33" t="s">
        <v>31</v>
      </c>
      <c r="C1222" s="34">
        <v>45866</v>
      </c>
      <c r="D1222" s="32" t="s">
        <v>32</v>
      </c>
      <c r="E1222" s="35" t="s">
        <v>33</v>
      </c>
      <c r="F1222" s="36" t="s">
        <v>34</v>
      </c>
    </row>
    <row r="1223" spans="1:6" ht="15" thickBot="1" x14ac:dyDescent="0.35">
      <c r="A1223" s="37"/>
      <c r="B1223" s="33" t="s">
        <v>35</v>
      </c>
      <c r="C1223" s="38">
        <f>IF(C1222="","",IF(AND(MONTH(C1222)&gt;=1,MONTH(C1222)&lt;=3),1,IF(AND(MONTH(C1222)&gt;=4,MONTH(C1222)&lt;=6),2,IF(AND(MONTH(C1222)&gt;=7,MONTH(C1222)&lt;=9),3,4))))</f>
        <v>3</v>
      </c>
      <c r="D1223" s="37"/>
      <c r="E1223" s="35" t="s">
        <v>36</v>
      </c>
      <c r="F1223" s="36" t="s">
        <v>37</v>
      </c>
    </row>
    <row r="1224" spans="1:6" ht="15" thickBot="1" x14ac:dyDescent="0.35">
      <c r="A1224" s="37"/>
      <c r="B1224" s="33" t="s">
        <v>38</v>
      </c>
      <c r="C1224" s="34">
        <v>45870</v>
      </c>
      <c r="D1224" s="37"/>
      <c r="E1224" s="35" t="s">
        <v>39</v>
      </c>
      <c r="F1224" s="36" t="s">
        <v>37</v>
      </c>
    </row>
    <row r="1225" spans="1:6" ht="15" thickBot="1" x14ac:dyDescent="0.35">
      <c r="A1225" s="37"/>
      <c r="B1225" s="33" t="s">
        <v>35</v>
      </c>
      <c r="C1225" s="38">
        <f>IF(C1224="","",IF(AND(MONTH(C1224)&gt;=1,MONTH(C1224)&lt;=3),1,IF(AND(MONTH(C1224)&gt;=4,MONTH(C1224)&lt;=6),2,IF(AND(MONTH(C1224)&gt;=7,MONTH(C1224)&lt;=9),3,4))))</f>
        <v>3</v>
      </c>
      <c r="D1225" s="37"/>
      <c r="E1225" s="35" t="s">
        <v>40</v>
      </c>
      <c r="F1225" s="36"/>
    </row>
    <row r="1226" spans="1:6" ht="15" thickBot="1" x14ac:dyDescent="0.35">
      <c r="A1226" s="30"/>
      <c r="B1226" s="30"/>
      <c r="C1226" s="30"/>
      <c r="D1226" s="30"/>
      <c r="E1226" s="30"/>
      <c r="F1226" s="30"/>
    </row>
    <row r="1227" spans="1:6" ht="15" thickBot="1" x14ac:dyDescent="0.35">
      <c r="A1227" s="39" t="s">
        <v>41</v>
      </c>
      <c r="B1227" s="39" t="s">
        <v>42</v>
      </c>
      <c r="C1227" s="39" t="s">
        <v>43</v>
      </c>
      <c r="D1227" s="39" t="s">
        <v>44</v>
      </c>
      <c r="E1227" s="39" t="s">
        <v>45</v>
      </c>
      <c r="F1227" s="39" t="s">
        <v>46</v>
      </c>
    </row>
    <row r="1228" spans="1:6" x14ac:dyDescent="0.3">
      <c r="A1228" s="40" t="s">
        <v>122</v>
      </c>
      <c r="B1228" s="41" t="str">
        <f ca="1">IFERROR(INDEX(UNSPSCDes,MATCH(INDIRECT(ADDRESS(ROW(),COLUMN()-1,4)),UNSPSCCode,0)),IF(INDIRECT(ADDRESS(ROW(),COLUMN()-1,4))="10121505","Heno",""))</f>
        <v>Heno</v>
      </c>
      <c r="C1228" s="42" t="str">
        <f>IFERROR(VLOOKUP("UD",'[1]Informacion '!P:Q,2,FALSE),"")</f>
        <v>Unidad</v>
      </c>
      <c r="D1228" s="40">
        <v>8500</v>
      </c>
      <c r="E1228" s="43">
        <v>195</v>
      </c>
      <c r="F1228" s="44">
        <f ca="1">INDIRECT(ADDRESS(ROW(),COLUMN()-2,4))*INDIRECT(ADDRESS(ROW(),COLUMN()-1,4))</f>
        <v>1657500</v>
      </c>
    </row>
    <row r="1229" spans="1:6" x14ac:dyDescent="0.3">
      <c r="A1229" s="30"/>
      <c r="B1229" s="30"/>
      <c r="C1229" s="30"/>
      <c r="D1229" s="30"/>
      <c r="E1229" s="45" t="s">
        <v>52</v>
      </c>
      <c r="F1229" s="46">
        <f ca="1">SUM(Table59[MONTO TOTAL ESTIMADO])</f>
        <v>1657500</v>
      </c>
    </row>
    <row r="1230" spans="1:6" ht="15" thickBot="1" x14ac:dyDescent="0.35">
      <c r="A1230" s="30"/>
      <c r="B1230" s="30"/>
      <c r="C1230" s="30"/>
      <c r="D1230" s="30"/>
      <c r="E1230" s="30"/>
      <c r="F1230" s="30"/>
    </row>
    <row r="1231" spans="1:6" ht="21" thickBot="1" x14ac:dyDescent="0.35">
      <c r="A1231" s="31" t="s">
        <v>19</v>
      </c>
      <c r="B1231" s="31" t="s">
        <v>20</v>
      </c>
      <c r="C1231" s="31" t="s">
        <v>21</v>
      </c>
      <c r="D1231" s="31" t="s">
        <v>22</v>
      </c>
      <c r="E1231" s="31" t="s">
        <v>23</v>
      </c>
      <c r="F1231" s="31" t="s">
        <v>24</v>
      </c>
    </row>
    <row r="1232" spans="1:6" ht="21" thickBot="1" x14ac:dyDescent="0.35">
      <c r="A1232" s="12" t="s">
        <v>316</v>
      </c>
      <c r="B1232" s="12" t="s">
        <v>316</v>
      </c>
      <c r="C1232" s="12" t="s">
        <v>27</v>
      </c>
      <c r="D1232" s="12" t="s">
        <v>80</v>
      </c>
      <c r="E1232" s="12" t="s">
        <v>59</v>
      </c>
      <c r="F1232" s="12"/>
    </row>
    <row r="1233" spans="1:6" ht="15" thickBot="1" x14ac:dyDescent="0.35">
      <c r="A1233" s="32" t="s">
        <v>30</v>
      </c>
      <c r="B1233" s="33" t="s">
        <v>31</v>
      </c>
      <c r="C1233" s="34">
        <v>45866</v>
      </c>
      <c r="D1233" s="32" t="s">
        <v>32</v>
      </c>
      <c r="E1233" s="35" t="s">
        <v>33</v>
      </c>
      <c r="F1233" s="36" t="s">
        <v>34</v>
      </c>
    </row>
    <row r="1234" spans="1:6" ht="15" thickBot="1" x14ac:dyDescent="0.35">
      <c r="A1234" s="37"/>
      <c r="B1234" s="33" t="s">
        <v>35</v>
      </c>
      <c r="C1234" s="38">
        <f>IF(C1233="","",IF(AND(MONTH(C1233)&gt;=1,MONTH(C1233)&lt;=3),1,IF(AND(MONTH(C1233)&gt;=4,MONTH(C1233)&lt;=6),2,IF(AND(MONTH(C1233)&gt;=7,MONTH(C1233)&lt;=9),3,4))))</f>
        <v>3</v>
      </c>
      <c r="D1234" s="37"/>
      <c r="E1234" s="35" t="s">
        <v>36</v>
      </c>
      <c r="F1234" s="36" t="s">
        <v>37</v>
      </c>
    </row>
    <row r="1235" spans="1:6" ht="15" thickBot="1" x14ac:dyDescent="0.35">
      <c r="A1235" s="37"/>
      <c r="B1235" s="33" t="s">
        <v>38</v>
      </c>
      <c r="C1235" s="34">
        <v>45868</v>
      </c>
      <c r="D1235" s="37"/>
      <c r="E1235" s="35" t="s">
        <v>39</v>
      </c>
      <c r="F1235" s="36" t="s">
        <v>37</v>
      </c>
    </row>
    <row r="1236" spans="1:6" ht="15" thickBot="1" x14ac:dyDescent="0.35">
      <c r="A1236" s="37"/>
      <c r="B1236" s="33" t="s">
        <v>35</v>
      </c>
      <c r="C1236" s="38">
        <f>IF(C1235="","",IF(AND(MONTH(C1235)&gt;=1,MONTH(C1235)&lt;=3),1,IF(AND(MONTH(C1235)&gt;=4,MONTH(C1235)&lt;=6),2,IF(AND(MONTH(C1235)&gt;=7,MONTH(C1235)&lt;=9),3,4))))</f>
        <v>3</v>
      </c>
      <c r="D1236" s="37"/>
      <c r="E1236" s="35" t="s">
        <v>40</v>
      </c>
      <c r="F1236" s="36"/>
    </row>
    <row r="1237" spans="1:6" ht="15" thickBot="1" x14ac:dyDescent="0.35">
      <c r="A1237" s="30"/>
      <c r="B1237" s="30"/>
      <c r="C1237" s="30"/>
      <c r="D1237" s="30"/>
      <c r="E1237" s="30"/>
      <c r="F1237" s="30"/>
    </row>
    <row r="1238" spans="1:6" ht="15" thickBot="1" x14ac:dyDescent="0.35">
      <c r="A1238" s="39" t="s">
        <v>41</v>
      </c>
      <c r="B1238" s="39" t="s">
        <v>42</v>
      </c>
      <c r="C1238" s="39" t="s">
        <v>43</v>
      </c>
      <c r="D1238" s="39" t="s">
        <v>44</v>
      </c>
      <c r="E1238" s="39" t="s">
        <v>45</v>
      </c>
      <c r="F1238" s="39" t="s">
        <v>46</v>
      </c>
    </row>
    <row r="1239" spans="1:6" x14ac:dyDescent="0.3">
      <c r="A1239" s="40" t="s">
        <v>124</v>
      </c>
      <c r="B1239" s="41" t="str">
        <f ca="1">IFERROR(INDEX(UNSPSCDes,MATCH(INDIRECT(ADDRESS(ROW(),COLUMN()-1,4)),UNSPSCCode,0)),IF(INDIRECT(ADDRESS(ROW(),COLUMN()-1,4))="42132205","Guantes de cirugía",""))</f>
        <v>Guantes de cirugía</v>
      </c>
      <c r="C1239" s="42" t="str">
        <f>IFERROR(VLOOKUP("UD",'[1]Informacion '!P:Q,2,FALSE),"")</f>
        <v>Unidad</v>
      </c>
      <c r="D1239" s="40">
        <v>30</v>
      </c>
      <c r="E1239" s="43">
        <v>350</v>
      </c>
      <c r="F1239" s="44">
        <f t="shared" ref="F1239:F1258" ca="1" si="38">INDIRECT(ADDRESS(ROW(),COLUMN()-2,4))*INDIRECT(ADDRESS(ROW(),COLUMN()-1,4))</f>
        <v>10500</v>
      </c>
    </row>
    <row r="1240" spans="1:6" x14ac:dyDescent="0.3">
      <c r="A1240" s="40" t="s">
        <v>124</v>
      </c>
      <c r="B1240" s="41" t="str">
        <f ca="1">IFERROR(INDEX(UNSPSCDes,MATCH(INDIRECT(ADDRESS(ROW(),COLUMN()-1,4)),UNSPSCCode,0)),IF(INDIRECT(ADDRESS(ROW(),COLUMN()-1,4))="42132205","Guantes de cirugía",""))</f>
        <v>Guantes de cirugía</v>
      </c>
      <c r="C1240" s="42" t="str">
        <f>IFERROR(VLOOKUP("UD",'[1]Informacion '!P:Q,2,FALSE),"")</f>
        <v>Unidad</v>
      </c>
      <c r="D1240" s="40">
        <v>20</v>
      </c>
      <c r="E1240" s="43">
        <v>500</v>
      </c>
      <c r="F1240" s="44">
        <f t="shared" ca="1" si="38"/>
        <v>10000</v>
      </c>
    </row>
    <row r="1241" spans="1:6" x14ac:dyDescent="0.3">
      <c r="A1241" s="40" t="s">
        <v>125</v>
      </c>
      <c r="B1241" s="41" t="str">
        <f ca="1">IFERROR(INDEX(UNSPSCDes,MATCH(INDIRECT(ADDRESS(ROW(),COLUMN()-1,4)),UNSPSCCode,0)),IF(INDIRECT(ADDRESS(ROW(),COLUMN()-1,4))="10111305","Tratamientos medicados para mascotas",""))</f>
        <v>Tratamientos medicados para mascotas</v>
      </c>
      <c r="C1241" s="42" t="str">
        <f>IFERROR(VLOOKUP("UD",'[1]Informacion '!P:Q,2,FALSE),"")</f>
        <v>Unidad</v>
      </c>
      <c r="D1241" s="40">
        <v>3</v>
      </c>
      <c r="E1241" s="43">
        <v>2000</v>
      </c>
      <c r="F1241" s="44">
        <f t="shared" ca="1" si="38"/>
        <v>6000</v>
      </c>
    </row>
    <row r="1242" spans="1:6" x14ac:dyDescent="0.3">
      <c r="A1242" s="40" t="s">
        <v>125</v>
      </c>
      <c r="B1242" s="41" t="str">
        <f ca="1">IFERROR(INDEX(UNSPSCDes,MATCH(INDIRECT(ADDRESS(ROW(),COLUMN()-1,4)),UNSPSCCode,0)),IF(INDIRECT(ADDRESS(ROW(),COLUMN()-1,4))="10111305","Tratamientos medicados para mascotas",""))</f>
        <v>Tratamientos medicados para mascotas</v>
      </c>
      <c r="C1242" s="42" t="str">
        <f>IFERROR(VLOOKUP("UD",'[1]Informacion '!P:Q,2,FALSE),"")</f>
        <v>Unidad</v>
      </c>
      <c r="D1242" s="40">
        <v>3</v>
      </c>
      <c r="E1242" s="43">
        <v>1600</v>
      </c>
      <c r="F1242" s="44">
        <f t="shared" ca="1" si="38"/>
        <v>4800</v>
      </c>
    </row>
    <row r="1243" spans="1:6" x14ac:dyDescent="0.3">
      <c r="A1243" s="40" t="s">
        <v>125</v>
      </c>
      <c r="B1243" s="41" t="str">
        <f ca="1">IFERROR(INDEX(UNSPSCDes,MATCH(INDIRECT(ADDRESS(ROW(),COLUMN()-1,4)),UNSPSCCode,0)),IF(INDIRECT(ADDRESS(ROW(),COLUMN()-1,4))="10111305","Tratamientos medicados para mascotas",""))</f>
        <v>Tratamientos medicados para mascotas</v>
      </c>
      <c r="C1243" s="42" t="str">
        <f>IFERROR(VLOOKUP("UD",'[1]Informacion '!P:Q,2,FALSE),"")</f>
        <v>Unidad</v>
      </c>
      <c r="D1243" s="40">
        <v>3</v>
      </c>
      <c r="E1243" s="43">
        <v>600</v>
      </c>
      <c r="F1243" s="44">
        <f t="shared" ca="1" si="38"/>
        <v>1800</v>
      </c>
    </row>
    <row r="1244" spans="1:6" x14ac:dyDescent="0.3">
      <c r="A1244" s="40" t="s">
        <v>125</v>
      </c>
      <c r="B1244" s="41" t="str">
        <f ca="1">IFERROR(INDEX(UNSPSCDes,MATCH(INDIRECT(ADDRESS(ROW(),COLUMN()-1,4)),UNSPSCCode,0)),IF(INDIRECT(ADDRESS(ROW(),COLUMN()-1,4))="10111305","Tratamientos medicados para mascotas",""))</f>
        <v>Tratamientos medicados para mascotas</v>
      </c>
      <c r="C1244" s="42" t="str">
        <f>IFERROR(VLOOKUP("UD",'[1]Informacion '!P:Q,2,FALSE),"")</f>
        <v>Unidad</v>
      </c>
      <c r="D1244" s="40">
        <v>1</v>
      </c>
      <c r="E1244" s="43">
        <v>800</v>
      </c>
      <c r="F1244" s="44">
        <f t="shared" ca="1" si="38"/>
        <v>800</v>
      </c>
    </row>
    <row r="1245" spans="1:6" x14ac:dyDescent="0.3">
      <c r="A1245" s="40" t="s">
        <v>125</v>
      </c>
      <c r="B1245" s="41" t="str">
        <f ca="1">IFERROR(INDEX(UNSPSCDes,MATCH(INDIRECT(ADDRESS(ROW(),COLUMN()-1,4)),UNSPSCCode,0)),IF(INDIRECT(ADDRESS(ROW(),COLUMN()-1,4))="10111305","Tratamientos medicados para mascotas",""))</f>
        <v>Tratamientos medicados para mascotas</v>
      </c>
      <c r="C1245" s="42" t="str">
        <f>IFERROR(VLOOKUP("UD",'[1]Informacion '!P:Q,2,FALSE),"")</f>
        <v>Unidad</v>
      </c>
      <c r="D1245" s="40">
        <v>2</v>
      </c>
      <c r="E1245" s="43">
        <v>400</v>
      </c>
      <c r="F1245" s="44">
        <f t="shared" ca="1" si="38"/>
        <v>800</v>
      </c>
    </row>
    <row r="1246" spans="1:6" ht="20.399999999999999" x14ac:dyDescent="0.3">
      <c r="A1246" s="40" t="s">
        <v>126</v>
      </c>
      <c r="B1246" s="41" t="str">
        <f ca="1">IFERROR(INDEX(UNSPSCDes,MATCH(INDIRECT(ADDRESS(ROW(),COLUMN()-1,4)),UNSPSCCode,0)),IF(INDIRECT(ADDRESS(ROW(),COLUMN()-1,4))="42121606","Productos dermatológicos o anti protozoarios para uso veterinario",""))</f>
        <v>Productos dermatológicos o anti protozoarios para uso veterinario</v>
      </c>
      <c r="C1246" s="42" t="str">
        <f>IFERROR(VLOOKUP("UD",'[1]Informacion '!P:Q,2,FALSE),"")</f>
        <v>Unidad</v>
      </c>
      <c r="D1246" s="40">
        <v>24</v>
      </c>
      <c r="E1246" s="43">
        <v>400</v>
      </c>
      <c r="F1246" s="44">
        <f t="shared" ca="1" si="38"/>
        <v>9600</v>
      </c>
    </row>
    <row r="1247" spans="1:6" ht="20.399999999999999" x14ac:dyDescent="0.3">
      <c r="A1247" s="40" t="s">
        <v>126</v>
      </c>
      <c r="B1247" s="41" t="str">
        <f ca="1">IFERROR(INDEX(UNSPSCDes,MATCH(INDIRECT(ADDRESS(ROW(),COLUMN()-1,4)),UNSPSCCode,0)),IF(INDIRECT(ADDRESS(ROW(),COLUMN()-1,4))="42121606","Productos dermatológicos o anti protozoarios para uso veterinario",""))</f>
        <v>Productos dermatológicos o anti protozoarios para uso veterinario</v>
      </c>
      <c r="C1247" s="42" t="str">
        <f>IFERROR(VLOOKUP("UD",'[1]Informacion '!P:Q,2,FALSE),"")</f>
        <v>Unidad</v>
      </c>
      <c r="D1247" s="40">
        <v>2</v>
      </c>
      <c r="E1247" s="43">
        <v>500</v>
      </c>
      <c r="F1247" s="44">
        <f t="shared" ca="1" si="38"/>
        <v>1000</v>
      </c>
    </row>
    <row r="1248" spans="1:6" x14ac:dyDescent="0.3">
      <c r="A1248" s="40" t="s">
        <v>127</v>
      </c>
      <c r="B1248" s="41" t="str">
        <f ca="1">IFERROR(INDEX(UNSPSCDes,MATCH(INDIRECT(ADDRESS(ROW(),COLUMN()-1,4)),UNSPSCCode,0)),IF(INDIRECT(ADDRESS(ROW(),COLUMN()-1,4))="12141916","Yodo i",""))</f>
        <v>Yodo i</v>
      </c>
      <c r="C1248" s="42" t="str">
        <f>IFERROR(VLOOKUP("UD",'[1]Informacion '!P:Q,2,FALSE),"")</f>
        <v>Unidad</v>
      </c>
      <c r="D1248" s="40">
        <v>3</v>
      </c>
      <c r="E1248" s="43">
        <v>1000</v>
      </c>
      <c r="F1248" s="44">
        <f t="shared" ca="1" si="38"/>
        <v>3000</v>
      </c>
    </row>
    <row r="1249" spans="1:6" ht="20.399999999999999" x14ac:dyDescent="0.3">
      <c r="A1249" s="40" t="s">
        <v>135</v>
      </c>
      <c r="B1249" s="41" t="str">
        <f ca="1">IFERROR(INDEX(UNSPSCDes,MATCH(INDIRECT(ADDRESS(ROW(),COLUMN()-1,4)),UNSPSCCode,0)),IF(INDIRECT(ADDRESS(ROW(),COLUMN()-1,4))="42311708","Cintas adherentes médicas o quirúrgicas para uso general",""))</f>
        <v>Cintas adherentes médicas o quirúrgicas para uso general</v>
      </c>
      <c r="C1249" s="42" t="str">
        <f>IFERROR(VLOOKUP("UD",'[1]Informacion '!P:Q,2,FALSE),"")</f>
        <v>Unidad</v>
      </c>
      <c r="D1249" s="40">
        <v>2</v>
      </c>
      <c r="E1249" s="43">
        <v>300</v>
      </c>
      <c r="F1249" s="44">
        <f t="shared" ca="1" si="38"/>
        <v>600</v>
      </c>
    </row>
    <row r="1250" spans="1:6" x14ac:dyDescent="0.3">
      <c r="A1250" s="40" t="s">
        <v>128</v>
      </c>
      <c r="B1250" s="41" t="str">
        <f ca="1">IFERROR(INDEX(UNSPSCDes,MATCH(INDIRECT(ADDRESS(ROW(),COLUMN()-1,4)),UNSPSCCode,0)),IF(INDIRECT(ADDRESS(ROW(),COLUMN()-1,4))="12352104","Alcoholes o sus sustitutos",""))</f>
        <v>Alcoholes o sus sustitutos</v>
      </c>
      <c r="C1250" s="42" t="str">
        <f>IFERROR(VLOOKUP("UD",'[1]Informacion '!P:Q,2,FALSE),"")</f>
        <v>Unidad</v>
      </c>
      <c r="D1250" s="40">
        <v>3</v>
      </c>
      <c r="E1250" s="43">
        <v>600</v>
      </c>
      <c r="F1250" s="44">
        <f t="shared" ca="1" si="38"/>
        <v>1800</v>
      </c>
    </row>
    <row r="1251" spans="1:6" x14ac:dyDescent="0.3">
      <c r="A1251" s="40" t="s">
        <v>129</v>
      </c>
      <c r="B1251" s="41" t="str">
        <f ca="1">IFERROR(INDEX(UNSPSCDes,MATCH(INDIRECT(ADDRESS(ROW(),COLUMN()-1,4)),UNSPSCCode,0)),IF(INDIRECT(ADDRESS(ROW(),COLUMN()-1,4))="12352501","Formaldehidos",""))</f>
        <v>Formaldehidos</v>
      </c>
      <c r="C1251" s="42" t="str">
        <f>IFERROR(VLOOKUP("UD",'[1]Informacion '!P:Q,2,FALSE),"")</f>
        <v>Unidad</v>
      </c>
      <c r="D1251" s="40">
        <v>2</v>
      </c>
      <c r="E1251" s="43">
        <v>100</v>
      </c>
      <c r="F1251" s="44">
        <f t="shared" ca="1" si="38"/>
        <v>200</v>
      </c>
    </row>
    <row r="1252" spans="1:6" x14ac:dyDescent="0.3">
      <c r="A1252" s="40" t="s">
        <v>130</v>
      </c>
      <c r="B1252" s="41" t="str">
        <f ca="1">IFERROR(INDEX(UNSPSCDes,MATCH(INDIRECT(ADDRESS(ROW(),COLUMN()-1,4)),UNSPSCCode,0)),IF(INDIRECT(ADDRESS(ROW(),COLUMN()-1,4))="51142106","Ibuprofeno",""))</f>
        <v>Ibuprofeno</v>
      </c>
      <c r="C1252" s="42" t="str">
        <f>IFERROR(VLOOKUP("CAJ",'[1]Informacion '!P:Q,2,FALSE),"")</f>
        <v>Caja</v>
      </c>
      <c r="D1252" s="40">
        <v>2</v>
      </c>
      <c r="E1252" s="43">
        <v>800</v>
      </c>
      <c r="F1252" s="44">
        <f t="shared" ca="1" si="38"/>
        <v>1600</v>
      </c>
    </row>
    <row r="1253" spans="1:6" x14ac:dyDescent="0.3">
      <c r="A1253" s="40" t="s">
        <v>131</v>
      </c>
      <c r="B1253" s="41" t="str">
        <f ca="1">IFERROR(INDEX(UNSPSCDes,MATCH(INDIRECT(ADDRESS(ROW(),COLUMN()-1,4)),UNSPSCCode,0)),IF(INDIRECT(ADDRESS(ROW(),COLUMN()-1,4))="51142001","Acetaminofén",""))</f>
        <v>Acetaminofén</v>
      </c>
      <c r="C1253" s="42" t="str">
        <f>IFERROR(VLOOKUP("CAJ",'[1]Informacion '!P:Q,2,FALSE),"")</f>
        <v>Caja</v>
      </c>
      <c r="D1253" s="40">
        <v>1</v>
      </c>
      <c r="E1253" s="43">
        <v>600</v>
      </c>
      <c r="F1253" s="44">
        <f t="shared" ca="1" si="38"/>
        <v>600</v>
      </c>
    </row>
    <row r="1254" spans="1:6" x14ac:dyDescent="0.3">
      <c r="A1254" s="40" t="s">
        <v>131</v>
      </c>
      <c r="B1254" s="41" t="str">
        <f ca="1">IFERROR(INDEX(UNSPSCDes,MATCH(INDIRECT(ADDRESS(ROW(),COLUMN()-1,4)),UNSPSCCode,0)),IF(INDIRECT(ADDRESS(ROW(),COLUMN()-1,4))="51142001","Acetaminofén",""))</f>
        <v>Acetaminofén</v>
      </c>
      <c r="C1254" s="42" t="str">
        <f>IFERROR(VLOOKUP("UD",'[1]Informacion '!P:Q,2,FALSE),"")</f>
        <v>Unidad</v>
      </c>
      <c r="D1254" s="40">
        <v>2</v>
      </c>
      <c r="E1254" s="43">
        <v>200</v>
      </c>
      <c r="F1254" s="44">
        <f t="shared" ca="1" si="38"/>
        <v>400</v>
      </c>
    </row>
    <row r="1255" spans="1:6" x14ac:dyDescent="0.3">
      <c r="A1255" s="40" t="s">
        <v>132</v>
      </c>
      <c r="B1255" s="41" t="str">
        <f ca="1">IFERROR(INDEX(UNSPSCDes,MATCH(INDIRECT(ADDRESS(ROW(),COLUMN()-1,4)),UNSPSCCode,0)),IF(INDIRECT(ADDRESS(ROW(),COLUMN()-1,4))="51161606","Loratadina",""))</f>
        <v>Loratadina</v>
      </c>
      <c r="C1255" s="42" t="str">
        <f>IFERROR(VLOOKUP("UD",'[1]Informacion '!P:Q,2,FALSE),"")</f>
        <v>Unidad</v>
      </c>
      <c r="D1255" s="40">
        <v>1</v>
      </c>
      <c r="E1255" s="43">
        <v>1900</v>
      </c>
      <c r="F1255" s="44">
        <f t="shared" ca="1" si="38"/>
        <v>1900</v>
      </c>
    </row>
    <row r="1256" spans="1:6" x14ac:dyDescent="0.3">
      <c r="A1256" s="40" t="s">
        <v>317</v>
      </c>
      <c r="B1256" s="41" t="str">
        <f ca="1">IFERROR(INDEX(UNSPSCDes,MATCH(INDIRECT(ADDRESS(ROW(),COLUMN()-1,4)),UNSPSCCode,0)),IF(INDIRECT(ADDRESS(ROW(),COLUMN()-1,4))="51142103","Diclofenaco potásico",""))</f>
        <v>Diclofenaco potásico</v>
      </c>
      <c r="C1256" s="42" t="str">
        <f>IFERROR(VLOOKUP("UD",'[1]Informacion '!P:Q,2,FALSE),"")</f>
        <v>Unidad</v>
      </c>
      <c r="D1256" s="40">
        <v>1</v>
      </c>
      <c r="E1256" s="43">
        <v>1000</v>
      </c>
      <c r="F1256" s="44">
        <f t="shared" ca="1" si="38"/>
        <v>1000</v>
      </c>
    </row>
    <row r="1257" spans="1:6" x14ac:dyDescent="0.3">
      <c r="A1257" s="40" t="s">
        <v>134</v>
      </c>
      <c r="B1257" s="41" t="str">
        <f ca="1">IFERROR(INDEX(UNSPSCDes,MATCH(INDIRECT(ADDRESS(ROW(),COLUMN()-1,4)),UNSPSCCode,0)),IF(INDIRECT(ADDRESS(ROW(),COLUMN()-1,4))="51191604","Solución ringer lactato",""))</f>
        <v>Solución ringer lactato</v>
      </c>
      <c r="C1257" s="42" t="str">
        <f>IFERROR(VLOOKUP("L",'[1]Informacion '!P:Q,2,FALSE),"")</f>
        <v>Litro</v>
      </c>
      <c r="D1257" s="40">
        <v>5</v>
      </c>
      <c r="E1257" s="43">
        <v>130</v>
      </c>
      <c r="F1257" s="44">
        <f t="shared" ca="1" si="38"/>
        <v>650</v>
      </c>
    </row>
    <row r="1258" spans="1:6" x14ac:dyDescent="0.3">
      <c r="A1258" s="40" t="s">
        <v>133</v>
      </c>
      <c r="B1258" s="41" t="str">
        <f ca="1">IFERROR(INDEX(UNSPSCDes,MATCH(INDIRECT(ADDRESS(ROW(),COLUMN()-1,4)),UNSPSCCode,0)),IF(INDIRECT(ADDRESS(ROW(),COLUMN()-1,4))="51102208","Pentosano polisulfato sódico",""))</f>
        <v>Pentosano polisulfato sódico</v>
      </c>
      <c r="C1258" s="42" t="str">
        <f>IFERROR(VLOOKUP("UD",'[1]Informacion '!P:Q,2,FALSE),"")</f>
        <v>Unidad</v>
      </c>
      <c r="D1258" s="40">
        <v>2</v>
      </c>
      <c r="E1258" s="43">
        <v>300</v>
      </c>
      <c r="F1258" s="44">
        <f t="shared" ca="1" si="38"/>
        <v>600</v>
      </c>
    </row>
    <row r="1259" spans="1:6" x14ac:dyDescent="0.3">
      <c r="A1259" s="30"/>
      <c r="B1259" s="30"/>
      <c r="C1259" s="30"/>
      <c r="D1259" s="30"/>
      <c r="E1259" s="45" t="s">
        <v>52</v>
      </c>
      <c r="F1259" s="46">
        <f ca="1">SUM(Table60[MONTO TOTAL ESTIMADO])</f>
        <v>57650</v>
      </c>
    </row>
    <row r="1260" spans="1:6" ht="15" thickBot="1" x14ac:dyDescent="0.35">
      <c r="A1260" s="30"/>
      <c r="B1260" s="30"/>
      <c r="C1260" s="30"/>
      <c r="D1260" s="30"/>
      <c r="E1260" s="30"/>
      <c r="F1260" s="30"/>
    </row>
    <row r="1261" spans="1:6" ht="21" thickBot="1" x14ac:dyDescent="0.35">
      <c r="A1261" s="31" t="s">
        <v>19</v>
      </c>
      <c r="B1261" s="31" t="s">
        <v>20</v>
      </c>
      <c r="C1261" s="31" t="s">
        <v>21</v>
      </c>
      <c r="D1261" s="31" t="s">
        <v>22</v>
      </c>
      <c r="E1261" s="31" t="s">
        <v>23</v>
      </c>
      <c r="F1261" s="31" t="s">
        <v>24</v>
      </c>
    </row>
    <row r="1262" spans="1:6" ht="21" thickBot="1" x14ac:dyDescent="0.35">
      <c r="A1262" s="12" t="s">
        <v>318</v>
      </c>
      <c r="B1262" s="12" t="s">
        <v>318</v>
      </c>
      <c r="C1262" s="12" t="s">
        <v>27</v>
      </c>
      <c r="D1262" s="12" t="s">
        <v>28</v>
      </c>
      <c r="E1262" s="12" t="s">
        <v>59</v>
      </c>
      <c r="F1262" s="12"/>
    </row>
    <row r="1263" spans="1:6" ht="15" thickBot="1" x14ac:dyDescent="0.35">
      <c r="A1263" s="32" t="s">
        <v>30</v>
      </c>
      <c r="B1263" s="33" t="s">
        <v>31</v>
      </c>
      <c r="C1263" s="34">
        <v>45873</v>
      </c>
      <c r="D1263" s="32" t="s">
        <v>32</v>
      </c>
      <c r="E1263" s="35" t="s">
        <v>33</v>
      </c>
      <c r="F1263" s="36" t="s">
        <v>34</v>
      </c>
    </row>
    <row r="1264" spans="1:6" ht="15" thickBot="1" x14ac:dyDescent="0.35">
      <c r="A1264" s="37"/>
      <c r="B1264" s="33" t="s">
        <v>35</v>
      </c>
      <c r="C1264" s="38">
        <f>IF(C1263="","",IF(AND(MONTH(C1263)&gt;=1,MONTH(C1263)&lt;=3),1,IF(AND(MONTH(C1263)&gt;=4,MONTH(C1263)&lt;=6),2,IF(AND(MONTH(C1263)&gt;=7,MONTH(C1263)&lt;=9),3,4))))</f>
        <v>3</v>
      </c>
      <c r="D1264" s="37"/>
      <c r="E1264" s="35" t="s">
        <v>36</v>
      </c>
      <c r="F1264" s="36" t="s">
        <v>37</v>
      </c>
    </row>
    <row r="1265" spans="1:6" ht="15" thickBot="1" x14ac:dyDescent="0.35">
      <c r="A1265" s="37"/>
      <c r="B1265" s="33" t="s">
        <v>38</v>
      </c>
      <c r="C1265" s="34">
        <v>45877</v>
      </c>
      <c r="D1265" s="37"/>
      <c r="E1265" s="35" t="s">
        <v>39</v>
      </c>
      <c r="F1265" s="36" t="s">
        <v>37</v>
      </c>
    </row>
    <row r="1266" spans="1:6" ht="15" thickBot="1" x14ac:dyDescent="0.35">
      <c r="A1266" s="37"/>
      <c r="B1266" s="33" t="s">
        <v>35</v>
      </c>
      <c r="C1266" s="38">
        <f>IF(C1265="","",IF(AND(MONTH(C1265)&gt;=1,MONTH(C1265)&lt;=3),1,IF(AND(MONTH(C1265)&gt;=4,MONTH(C1265)&lt;=6),2,IF(AND(MONTH(C1265)&gt;=7,MONTH(C1265)&lt;=9),3,4))))</f>
        <v>3</v>
      </c>
      <c r="D1266" s="37"/>
      <c r="E1266" s="35" t="s">
        <v>40</v>
      </c>
      <c r="F1266" s="36"/>
    </row>
    <row r="1267" spans="1:6" ht="15" thickBot="1" x14ac:dyDescent="0.35">
      <c r="A1267" s="30"/>
      <c r="B1267" s="30"/>
      <c r="C1267" s="30"/>
      <c r="D1267" s="30"/>
      <c r="E1267" s="30"/>
      <c r="F1267" s="30"/>
    </row>
    <row r="1268" spans="1:6" ht="15" thickBot="1" x14ac:dyDescent="0.35">
      <c r="A1268" s="39" t="s">
        <v>41</v>
      </c>
      <c r="B1268" s="39" t="s">
        <v>42</v>
      </c>
      <c r="C1268" s="39" t="s">
        <v>43</v>
      </c>
      <c r="D1268" s="39" t="s">
        <v>44</v>
      </c>
      <c r="E1268" s="39" t="s">
        <v>45</v>
      </c>
      <c r="F1268" s="39" t="s">
        <v>46</v>
      </c>
    </row>
    <row r="1269" spans="1:6" x14ac:dyDescent="0.3">
      <c r="A1269" s="40" t="s">
        <v>147</v>
      </c>
      <c r="B1269" s="41" t="str">
        <f ca="1">IFERROR(INDEX(UNSPSCDes,MATCH(INDIRECT(ADDRESS(ROW(),COLUMN()-1,4)),UNSPSCCode,0)),IF(INDIRECT(ADDRESS(ROW(),COLUMN()-1,4))="44102904","Aerosol de aire comprimido",""))</f>
        <v>Aerosol de aire comprimido</v>
      </c>
      <c r="C1269" s="42" t="str">
        <f>IFERROR(VLOOKUP("UD",'[1]Informacion '!P:Q,2,FALSE),"")</f>
        <v>Unidad</v>
      </c>
      <c r="D1269" s="40">
        <v>3</v>
      </c>
      <c r="E1269" s="43">
        <v>500</v>
      </c>
      <c r="F1269" s="44">
        <f t="shared" ref="F1269:F1282" ca="1" si="39">INDIRECT(ADDRESS(ROW(),COLUMN()-2,4))*INDIRECT(ADDRESS(ROW(),COLUMN()-1,4))</f>
        <v>1500</v>
      </c>
    </row>
    <row r="1270" spans="1:6" ht="20.399999999999999" x14ac:dyDescent="0.3">
      <c r="A1270" s="40" t="s">
        <v>148</v>
      </c>
      <c r="B1270" s="41" t="str">
        <f ca="1">IFERROR(INDEX(UNSPSCDes,MATCH(INDIRECT(ADDRESS(ROW(),COLUMN()-1,4)),UNSPSCCode,0)),IF(INDIRECT(ADDRESS(ROW(),COLUMN()-1,4))="43211902","Paneles o monitores de pantalla de cristal líquido lcd",""))</f>
        <v>Paneles o monitores de pantalla de cristal líquido lcd</v>
      </c>
      <c r="C1270" s="42" t="str">
        <f>IFERROR(VLOOKUP("UD",'[1]Informacion '!P:Q,2,FALSE),"")</f>
        <v>Unidad</v>
      </c>
      <c r="D1270" s="40">
        <v>1</v>
      </c>
      <c r="E1270" s="43">
        <v>12000</v>
      </c>
      <c r="F1270" s="44">
        <f t="shared" ca="1" si="39"/>
        <v>12000</v>
      </c>
    </row>
    <row r="1271" spans="1:6" x14ac:dyDescent="0.3">
      <c r="A1271" s="40" t="s">
        <v>149</v>
      </c>
      <c r="B1271" s="41" t="str">
        <f ca="1">IFERROR(INDEX(UNSPSCDes,MATCH(INDIRECT(ADDRESS(ROW(),COLUMN()-1,4)),UNSPSCCode,0)),IF(INDIRECT(ADDRESS(ROW(),COLUMN()-1,4))="44103103","Tóner para impresoras o fax",""))</f>
        <v>Tóner para impresoras o fax</v>
      </c>
      <c r="C1271" s="42" t="str">
        <f>IFERROR(VLOOKUP("UD",'[1]Informacion '!P:Q,2,FALSE),"")</f>
        <v>Unidad</v>
      </c>
      <c r="D1271" s="40">
        <v>2</v>
      </c>
      <c r="E1271" s="43">
        <v>5000</v>
      </c>
      <c r="F1271" s="44">
        <f t="shared" ca="1" si="39"/>
        <v>10000</v>
      </c>
    </row>
    <row r="1272" spans="1:6" x14ac:dyDescent="0.3">
      <c r="A1272" s="40" t="s">
        <v>151</v>
      </c>
      <c r="B1272" s="41" t="str">
        <f ca="1">IFERROR(INDEX(UNSPSCDes,MATCH(INDIRECT(ADDRESS(ROW(),COLUMN()-1,4)),UNSPSCCode,0)),IF(INDIRECT(ADDRESS(ROW(),COLUMN()-1,4))="32101622","Memoria flash",""))</f>
        <v>Memoria flash</v>
      </c>
      <c r="C1272" s="42" t="str">
        <f>IFERROR(VLOOKUP("UD",'[1]Informacion '!P:Q,2,FALSE),"")</f>
        <v>Unidad</v>
      </c>
      <c r="D1272" s="40">
        <v>3</v>
      </c>
      <c r="E1272" s="43">
        <v>400</v>
      </c>
      <c r="F1272" s="44">
        <f t="shared" ca="1" si="39"/>
        <v>1200</v>
      </c>
    </row>
    <row r="1273" spans="1:6" x14ac:dyDescent="0.3">
      <c r="A1273" s="40" t="s">
        <v>149</v>
      </c>
      <c r="B1273" s="41" t="str">
        <f ca="1">IFERROR(INDEX(UNSPSCDes,MATCH(INDIRECT(ADDRESS(ROW(),COLUMN()-1,4)),UNSPSCCode,0)),IF(INDIRECT(ADDRESS(ROW(),COLUMN()-1,4))="44103103","Tóner para impresoras o fax",""))</f>
        <v>Tóner para impresoras o fax</v>
      </c>
      <c r="C1273" s="42" t="str">
        <f>IFERROR(VLOOKUP("UD",'[1]Informacion '!P:Q,2,FALSE),"")</f>
        <v>Unidad</v>
      </c>
      <c r="D1273" s="40">
        <v>2</v>
      </c>
      <c r="E1273" s="43">
        <v>3500</v>
      </c>
      <c r="F1273" s="44">
        <f t="shared" ca="1" si="39"/>
        <v>7000</v>
      </c>
    </row>
    <row r="1274" spans="1:6" x14ac:dyDescent="0.3">
      <c r="A1274" s="40" t="s">
        <v>149</v>
      </c>
      <c r="B1274" s="41" t="str">
        <f ca="1">IFERROR(INDEX(UNSPSCDes,MATCH(INDIRECT(ADDRESS(ROW(),COLUMN()-1,4)),UNSPSCCode,0)),IF(INDIRECT(ADDRESS(ROW(),COLUMN()-1,4))="44103103","Tóner para impresoras o fax",""))</f>
        <v>Tóner para impresoras o fax</v>
      </c>
      <c r="C1274" s="42" t="str">
        <f>IFERROR(VLOOKUP("UD",'[1]Informacion '!P:Q,2,FALSE),"")</f>
        <v>Unidad</v>
      </c>
      <c r="D1274" s="40">
        <v>2</v>
      </c>
      <c r="E1274" s="43">
        <v>5000</v>
      </c>
      <c r="F1274" s="44">
        <f t="shared" ca="1" si="39"/>
        <v>10000</v>
      </c>
    </row>
    <row r="1275" spans="1:6" x14ac:dyDescent="0.3">
      <c r="A1275" s="40" t="s">
        <v>153</v>
      </c>
      <c r="B1275" s="41" t="str">
        <f t="shared" ref="B1275:B1282" ca="1" si="40">IFERROR(INDEX(UNSPSCDes,MATCH(INDIRECT(ADDRESS(ROW(),COLUMN()-1,4)),UNSPSCCode,0)),IF(INDIRECT(ADDRESS(ROW(),COLUMN()-1,4))="44103105","Cartuchos de tinta",""))</f>
        <v>Cartuchos de tinta</v>
      </c>
      <c r="C1275" s="42" t="str">
        <f>IFERROR(VLOOKUP("UD",'[1]Informacion '!P:Q,2,FALSE),"")</f>
        <v>Unidad</v>
      </c>
      <c r="D1275" s="40">
        <v>3</v>
      </c>
      <c r="E1275" s="43">
        <v>2500</v>
      </c>
      <c r="F1275" s="44">
        <f t="shared" ca="1" si="39"/>
        <v>7500</v>
      </c>
    </row>
    <row r="1276" spans="1:6" x14ac:dyDescent="0.3">
      <c r="A1276" s="40" t="s">
        <v>153</v>
      </c>
      <c r="B1276" s="41" t="str">
        <f t="shared" ca="1" si="40"/>
        <v>Cartuchos de tinta</v>
      </c>
      <c r="C1276" s="42" t="str">
        <f>IFERROR(VLOOKUP("UD",'[1]Informacion '!P:Q,2,FALSE),"")</f>
        <v>Unidad</v>
      </c>
      <c r="D1276" s="40">
        <v>3</v>
      </c>
      <c r="E1276" s="43">
        <v>2000</v>
      </c>
      <c r="F1276" s="44">
        <f t="shared" ca="1" si="39"/>
        <v>6000</v>
      </c>
    </row>
    <row r="1277" spans="1:6" x14ac:dyDescent="0.3">
      <c r="A1277" s="40" t="s">
        <v>153</v>
      </c>
      <c r="B1277" s="41" t="str">
        <f t="shared" ca="1" si="40"/>
        <v>Cartuchos de tinta</v>
      </c>
      <c r="C1277" s="42" t="str">
        <f>IFERROR(VLOOKUP("UD",'[1]Informacion '!P:Q,2,FALSE),"")</f>
        <v>Unidad</v>
      </c>
      <c r="D1277" s="40">
        <v>3</v>
      </c>
      <c r="E1277" s="43">
        <v>2000</v>
      </c>
      <c r="F1277" s="44">
        <f t="shared" ca="1" si="39"/>
        <v>6000</v>
      </c>
    </row>
    <row r="1278" spans="1:6" x14ac:dyDescent="0.3">
      <c r="A1278" s="40" t="s">
        <v>153</v>
      </c>
      <c r="B1278" s="41" t="str">
        <f t="shared" ca="1" si="40"/>
        <v>Cartuchos de tinta</v>
      </c>
      <c r="C1278" s="42" t="str">
        <f>IFERROR(VLOOKUP("UD",'[1]Informacion '!P:Q,2,FALSE),"")</f>
        <v>Unidad</v>
      </c>
      <c r="D1278" s="40">
        <v>3</v>
      </c>
      <c r="E1278" s="43">
        <v>2000</v>
      </c>
      <c r="F1278" s="44">
        <f t="shared" ca="1" si="39"/>
        <v>6000</v>
      </c>
    </row>
    <row r="1279" spans="1:6" x14ac:dyDescent="0.3">
      <c r="A1279" s="40" t="s">
        <v>153</v>
      </c>
      <c r="B1279" s="41" t="str">
        <f t="shared" ca="1" si="40"/>
        <v>Cartuchos de tinta</v>
      </c>
      <c r="C1279" s="42" t="str">
        <f>IFERROR(VLOOKUP("UD",'[1]Informacion '!P:Q,2,FALSE),"")</f>
        <v>Unidad</v>
      </c>
      <c r="D1279" s="40">
        <v>4</v>
      </c>
      <c r="E1279" s="43">
        <v>2000</v>
      </c>
      <c r="F1279" s="44">
        <f t="shared" ca="1" si="39"/>
        <v>8000</v>
      </c>
    </row>
    <row r="1280" spans="1:6" x14ac:dyDescent="0.3">
      <c r="A1280" s="40" t="s">
        <v>153</v>
      </c>
      <c r="B1280" s="41" t="str">
        <f t="shared" ca="1" si="40"/>
        <v>Cartuchos de tinta</v>
      </c>
      <c r="C1280" s="42" t="str">
        <f>IFERROR(VLOOKUP("UD",'[1]Informacion '!P:Q,2,FALSE),"")</f>
        <v>Unidad</v>
      </c>
      <c r="D1280" s="40">
        <v>4</v>
      </c>
      <c r="E1280" s="43">
        <v>1700</v>
      </c>
      <c r="F1280" s="44">
        <f t="shared" ca="1" si="39"/>
        <v>6800</v>
      </c>
    </row>
    <row r="1281" spans="1:6" x14ac:dyDescent="0.3">
      <c r="A1281" s="40" t="s">
        <v>153</v>
      </c>
      <c r="B1281" s="41" t="str">
        <f t="shared" ca="1" si="40"/>
        <v>Cartuchos de tinta</v>
      </c>
      <c r="C1281" s="42" t="str">
        <f>IFERROR(VLOOKUP("UD",'[1]Informacion '!P:Q,2,FALSE),"")</f>
        <v>Unidad</v>
      </c>
      <c r="D1281" s="40">
        <v>4</v>
      </c>
      <c r="E1281" s="43">
        <v>1700</v>
      </c>
      <c r="F1281" s="44">
        <f t="shared" ca="1" si="39"/>
        <v>6800</v>
      </c>
    </row>
    <row r="1282" spans="1:6" x14ac:dyDescent="0.3">
      <c r="A1282" s="40" t="s">
        <v>153</v>
      </c>
      <c r="B1282" s="41" t="str">
        <f t="shared" ca="1" si="40"/>
        <v>Cartuchos de tinta</v>
      </c>
      <c r="C1282" s="42" t="str">
        <f>IFERROR(VLOOKUP("UD",'[1]Informacion '!P:Q,2,FALSE),"")</f>
        <v>Unidad</v>
      </c>
      <c r="D1282" s="40">
        <v>4</v>
      </c>
      <c r="E1282" s="43">
        <v>1700</v>
      </c>
      <c r="F1282" s="44">
        <f t="shared" ca="1" si="39"/>
        <v>6800</v>
      </c>
    </row>
    <row r="1283" spans="1:6" x14ac:dyDescent="0.3">
      <c r="A1283" s="30"/>
      <c r="B1283" s="30"/>
      <c r="C1283" s="30"/>
      <c r="D1283" s="30"/>
      <c r="E1283" s="45" t="s">
        <v>52</v>
      </c>
      <c r="F1283" s="46">
        <f ca="1">SUM(Table61[MONTO TOTAL ESTIMADO])</f>
        <v>95600</v>
      </c>
    </row>
    <row r="1284" spans="1:6" ht="15" thickBot="1" x14ac:dyDescent="0.35">
      <c r="A1284" s="30"/>
      <c r="B1284" s="30"/>
      <c r="C1284" s="30"/>
      <c r="D1284" s="30"/>
      <c r="E1284" s="30"/>
      <c r="F1284" s="30"/>
    </row>
    <row r="1285" spans="1:6" ht="21" thickBot="1" x14ac:dyDescent="0.35">
      <c r="A1285" s="31" t="s">
        <v>19</v>
      </c>
      <c r="B1285" s="31" t="s">
        <v>20</v>
      </c>
      <c r="C1285" s="31" t="s">
        <v>21</v>
      </c>
      <c r="D1285" s="31" t="s">
        <v>22</v>
      </c>
      <c r="E1285" s="31" t="s">
        <v>23</v>
      </c>
      <c r="F1285" s="31" t="s">
        <v>24</v>
      </c>
    </row>
    <row r="1286" spans="1:6" ht="21" thickBot="1" x14ac:dyDescent="0.35">
      <c r="A1286" s="12" t="s">
        <v>319</v>
      </c>
      <c r="B1286" s="12" t="s">
        <v>319</v>
      </c>
      <c r="C1286" s="12" t="s">
        <v>27</v>
      </c>
      <c r="D1286" s="12" t="s">
        <v>80</v>
      </c>
      <c r="E1286" s="12" t="s">
        <v>59</v>
      </c>
      <c r="F1286" s="12"/>
    </row>
    <row r="1287" spans="1:6" ht="15" thickBot="1" x14ac:dyDescent="0.35">
      <c r="A1287" s="32" t="s">
        <v>30</v>
      </c>
      <c r="B1287" s="33" t="s">
        <v>31</v>
      </c>
      <c r="C1287" s="34">
        <v>45873</v>
      </c>
      <c r="D1287" s="32" t="s">
        <v>32</v>
      </c>
      <c r="E1287" s="35" t="s">
        <v>33</v>
      </c>
      <c r="F1287" s="36" t="s">
        <v>34</v>
      </c>
    </row>
    <row r="1288" spans="1:6" ht="15" thickBot="1" x14ac:dyDescent="0.35">
      <c r="A1288" s="37"/>
      <c r="B1288" s="33" t="s">
        <v>35</v>
      </c>
      <c r="C1288" s="38">
        <f>IF(C1287="","",IF(AND(MONTH(C1287)&gt;=1,MONTH(C1287)&lt;=3),1,IF(AND(MONTH(C1287)&gt;=4,MONTH(C1287)&lt;=6),2,IF(AND(MONTH(C1287)&gt;=7,MONTH(C1287)&lt;=9),3,4))))</f>
        <v>3</v>
      </c>
      <c r="D1288" s="37"/>
      <c r="E1288" s="35" t="s">
        <v>36</v>
      </c>
      <c r="F1288" s="36" t="s">
        <v>37</v>
      </c>
    </row>
    <row r="1289" spans="1:6" ht="15" thickBot="1" x14ac:dyDescent="0.35">
      <c r="A1289" s="37"/>
      <c r="B1289" s="33" t="s">
        <v>38</v>
      </c>
      <c r="C1289" s="34">
        <v>45877</v>
      </c>
      <c r="D1289" s="37"/>
      <c r="E1289" s="35" t="s">
        <v>39</v>
      </c>
      <c r="F1289" s="36" t="s">
        <v>37</v>
      </c>
    </row>
    <row r="1290" spans="1:6" ht="15" thickBot="1" x14ac:dyDescent="0.35">
      <c r="A1290" s="37"/>
      <c r="B1290" s="33" t="s">
        <v>35</v>
      </c>
      <c r="C1290" s="38">
        <f>IF(C1289="","",IF(AND(MONTH(C1289)&gt;=1,MONTH(C1289)&lt;=3),1,IF(AND(MONTH(C1289)&gt;=4,MONTH(C1289)&lt;=6),2,IF(AND(MONTH(C1289)&gt;=7,MONTH(C1289)&lt;=9),3,4))))</f>
        <v>3</v>
      </c>
      <c r="D1290" s="37"/>
      <c r="E1290" s="35" t="s">
        <v>40</v>
      </c>
      <c r="F1290" s="36"/>
    </row>
    <row r="1291" spans="1:6" ht="15" thickBot="1" x14ac:dyDescent="0.35">
      <c r="A1291" s="30"/>
      <c r="B1291" s="30"/>
      <c r="C1291" s="30"/>
      <c r="D1291" s="30"/>
      <c r="E1291" s="30"/>
      <c r="F1291" s="30"/>
    </row>
    <row r="1292" spans="1:6" ht="15" thickBot="1" x14ac:dyDescent="0.35">
      <c r="A1292" s="39" t="s">
        <v>41</v>
      </c>
      <c r="B1292" s="39" t="s">
        <v>42</v>
      </c>
      <c r="C1292" s="39" t="s">
        <v>43</v>
      </c>
      <c r="D1292" s="39" t="s">
        <v>44</v>
      </c>
      <c r="E1292" s="39" t="s">
        <v>45</v>
      </c>
      <c r="F1292" s="39" t="s">
        <v>46</v>
      </c>
    </row>
    <row r="1293" spans="1:6" x14ac:dyDescent="0.3">
      <c r="A1293" s="40" t="s">
        <v>202</v>
      </c>
      <c r="B1293" s="41" t="str">
        <f ca="1">IFERROR(INDEX(UNSPSCDes,MATCH(INDIRECT(ADDRESS(ROW(),COLUMN()-1,4)),UNSPSCCode,0)),IF(INDIRECT(ADDRESS(ROW(),COLUMN()-1,4))="26111703","Baterías para vehículos",""))</f>
        <v>Baterías para vehículos</v>
      </c>
      <c r="C1293" s="42" t="str">
        <f>IFERROR(VLOOKUP("UD",'[1]Informacion '!P:Q,2,FALSE),"")</f>
        <v>Unidad</v>
      </c>
      <c r="D1293" s="40">
        <v>2</v>
      </c>
      <c r="E1293" s="43">
        <v>7500</v>
      </c>
      <c r="F1293" s="44">
        <f t="shared" ref="F1293:F1303" ca="1" si="41">INDIRECT(ADDRESS(ROW(),COLUMN()-2,4))*INDIRECT(ADDRESS(ROW(),COLUMN()-1,4))</f>
        <v>15000</v>
      </c>
    </row>
    <row r="1294" spans="1:6" x14ac:dyDescent="0.3">
      <c r="A1294" s="40" t="s">
        <v>203</v>
      </c>
      <c r="B1294" s="41" t="str">
        <f ca="1">IFERROR(INDEX(UNSPSCDes,MATCH(INDIRECT(ADDRESS(ROW(),COLUMN()-1,4)),UNSPSCCode,0)),IF(INDIRECT(ADDRESS(ROW(),COLUMN()-1,4))="15121501","Aceite motor",""))</f>
        <v>Aceite motor</v>
      </c>
      <c r="C1294" s="42" t="str">
        <f>IFERROR(VLOOKUP("UD",'[1]Informacion '!P:Q,2,FALSE),"")</f>
        <v>Unidad</v>
      </c>
      <c r="D1294" s="40">
        <v>1</v>
      </c>
      <c r="E1294" s="43">
        <v>20000</v>
      </c>
      <c r="F1294" s="44">
        <f t="shared" ca="1" si="41"/>
        <v>20000</v>
      </c>
    </row>
    <row r="1295" spans="1:6" x14ac:dyDescent="0.3">
      <c r="A1295" s="40" t="s">
        <v>204</v>
      </c>
      <c r="B1295" s="41" t="str">
        <f ca="1">IFERROR(INDEX(UNSPSCDes,MATCH(INDIRECT(ADDRESS(ROW(),COLUMN()-1,4)),UNSPSCCode,0)),IF(INDIRECT(ADDRESS(ROW(),COLUMN()-1,4))="15121504","Aceite hidráulico",""))</f>
        <v>Aceite hidráulico</v>
      </c>
      <c r="C1295" s="42" t="str">
        <f>IFERROR(VLOOKUP("UD",'[1]Informacion '!P:Q,2,FALSE),"")</f>
        <v>Unidad</v>
      </c>
      <c r="D1295" s="40">
        <v>12</v>
      </c>
      <c r="E1295" s="43">
        <v>350</v>
      </c>
      <c r="F1295" s="44">
        <f t="shared" ca="1" si="41"/>
        <v>4200</v>
      </c>
    </row>
    <row r="1296" spans="1:6" x14ac:dyDescent="0.3">
      <c r="A1296" s="40" t="s">
        <v>205</v>
      </c>
      <c r="B1296" s="41" t="str">
        <f ca="1">IFERROR(INDEX(UNSPSCDes,MATCH(INDIRECT(ADDRESS(ROW(),COLUMN()-1,4)),UNSPSCCode,0)),IF(INDIRECT(ADDRESS(ROW(),COLUMN()-1,4))="15121509","Aceite de frenos",""))</f>
        <v>Aceite de frenos</v>
      </c>
      <c r="C1296" s="42" t="str">
        <f>IFERROR(VLOOKUP("UD",'[1]Informacion '!P:Q,2,FALSE),"")</f>
        <v>Unidad</v>
      </c>
      <c r="D1296" s="40">
        <v>12</v>
      </c>
      <c r="E1296" s="43">
        <v>250</v>
      </c>
      <c r="F1296" s="44">
        <f t="shared" ca="1" si="41"/>
        <v>3000</v>
      </c>
    </row>
    <row r="1297" spans="1:6" x14ac:dyDescent="0.3">
      <c r="A1297" s="40" t="s">
        <v>206</v>
      </c>
      <c r="B1297" s="41" t="str">
        <f ca="1">IFERROR(INDEX(UNSPSCDes,MATCH(INDIRECT(ADDRESS(ROW(),COLUMN()-1,4)),UNSPSCCode,0)),IF(INDIRECT(ADDRESS(ROW(),COLUMN()-1,4))="25174004","Refrigerante de motor",""))</f>
        <v>Refrigerante de motor</v>
      </c>
      <c r="C1297" s="42" t="str">
        <f>IFERROR(VLOOKUP("UD",'[1]Informacion '!P:Q,2,FALSE),"")</f>
        <v>Unidad</v>
      </c>
      <c r="D1297" s="40">
        <v>12</v>
      </c>
      <c r="E1297" s="43">
        <v>700</v>
      </c>
      <c r="F1297" s="44">
        <f t="shared" ca="1" si="41"/>
        <v>8400</v>
      </c>
    </row>
    <row r="1298" spans="1:6" x14ac:dyDescent="0.3">
      <c r="A1298" s="40" t="s">
        <v>207</v>
      </c>
      <c r="B1298" s="41" t="str">
        <f ca="1">IFERROR(INDEX(UNSPSCDes,MATCH(INDIRECT(ADDRESS(ROW(),COLUMN()-1,4)),UNSPSCCode,0)),IF(INDIRECT(ADDRESS(ROW(),COLUMN()-1,4))="40161504","Filtros de aceite",""))</f>
        <v>Filtros de aceite</v>
      </c>
      <c r="C1298" s="42" t="str">
        <f>IFERROR(VLOOKUP("UD",'[1]Informacion '!P:Q,2,FALSE),"")</f>
        <v>Unidad</v>
      </c>
      <c r="D1298" s="40">
        <v>6</v>
      </c>
      <c r="E1298" s="43">
        <v>800</v>
      </c>
      <c r="F1298" s="44">
        <f t="shared" ca="1" si="41"/>
        <v>4800</v>
      </c>
    </row>
    <row r="1299" spans="1:6" x14ac:dyDescent="0.3">
      <c r="A1299" s="40" t="s">
        <v>209</v>
      </c>
      <c r="B1299" s="41" t="str">
        <f ca="1">IFERROR(INDEX(UNSPSCDes,MATCH(INDIRECT(ADDRESS(ROW(),COLUMN()-1,4)),UNSPSCCode,0)),IF(INDIRECT(ADDRESS(ROW(),COLUMN()-1,4))="40161513","Filtros de combustible",""))</f>
        <v>Filtros de combustible</v>
      </c>
      <c r="C1299" s="42" t="str">
        <f>IFERROR(VLOOKUP("UD",'[1]Informacion '!P:Q,2,FALSE),"")</f>
        <v>Unidad</v>
      </c>
      <c r="D1299" s="40">
        <v>6</v>
      </c>
      <c r="E1299" s="43">
        <v>650</v>
      </c>
      <c r="F1299" s="44">
        <f t="shared" ca="1" si="41"/>
        <v>3900</v>
      </c>
    </row>
    <row r="1300" spans="1:6" x14ac:dyDescent="0.3">
      <c r="A1300" s="40" t="s">
        <v>208</v>
      </c>
      <c r="B1300" s="41" t="str">
        <f ca="1">IFERROR(INDEX(UNSPSCDes,MATCH(INDIRECT(ADDRESS(ROW(),COLUMN()-1,4)),UNSPSCCode,0)),IF(INDIRECT(ADDRESS(ROW(),COLUMN()-1,4))="40161505","Filtros de aire",""))</f>
        <v>Filtros de aire</v>
      </c>
      <c r="C1300" s="42" t="str">
        <f>IFERROR(VLOOKUP("UD",'[1]Informacion '!P:Q,2,FALSE),"")</f>
        <v>Unidad</v>
      </c>
      <c r="D1300" s="40">
        <v>6</v>
      </c>
      <c r="E1300" s="43">
        <v>800</v>
      </c>
      <c r="F1300" s="44">
        <f t="shared" ca="1" si="41"/>
        <v>4800</v>
      </c>
    </row>
    <row r="1301" spans="1:6" ht="20.399999999999999" x14ac:dyDescent="0.3">
      <c r="A1301" s="40" t="s">
        <v>210</v>
      </c>
      <c r="B1301" s="41" t="str">
        <f ca="1">IFERROR(INDEX(UNSPSCDes,MATCH(INDIRECT(ADDRESS(ROW(),COLUMN()-1,4)),UNSPSCCode,0)),IF(INDIRECT(ADDRESS(ROW(),COLUMN()-1,4))="25172504","Neumáticos para automoviles o camiones ligeros",""))</f>
        <v>Neumáticos para automoviles o camiones ligeros</v>
      </c>
      <c r="C1301" s="42" t="str">
        <f>IFERROR(VLOOKUP("UD",'[1]Informacion '!P:Q,2,FALSE),"")</f>
        <v>Unidad</v>
      </c>
      <c r="D1301" s="40">
        <v>6</v>
      </c>
      <c r="E1301" s="43">
        <v>8500</v>
      </c>
      <c r="F1301" s="44">
        <f t="shared" ca="1" si="41"/>
        <v>51000</v>
      </c>
    </row>
    <row r="1302" spans="1:6" ht="20.399999999999999" x14ac:dyDescent="0.3">
      <c r="A1302" s="40" t="s">
        <v>210</v>
      </c>
      <c r="B1302" s="41" t="str">
        <f ca="1">IFERROR(INDEX(UNSPSCDes,MATCH(INDIRECT(ADDRESS(ROW(),COLUMN()-1,4)),UNSPSCCode,0)),IF(INDIRECT(ADDRESS(ROW(),COLUMN()-1,4))="25172504","Neumáticos para automoviles o camiones ligeros",""))</f>
        <v>Neumáticos para automoviles o camiones ligeros</v>
      </c>
      <c r="C1302" s="42" t="str">
        <f>IFERROR(VLOOKUP("UD",'[1]Informacion '!P:Q,2,FALSE),"")</f>
        <v>Unidad</v>
      </c>
      <c r="D1302" s="40">
        <v>4</v>
      </c>
      <c r="E1302" s="43">
        <v>9000</v>
      </c>
      <c r="F1302" s="44">
        <f t="shared" ca="1" si="41"/>
        <v>36000</v>
      </c>
    </row>
    <row r="1303" spans="1:6" ht="20.399999999999999" x14ac:dyDescent="0.3">
      <c r="A1303" s="40" t="s">
        <v>210</v>
      </c>
      <c r="B1303" s="41" t="str">
        <f ca="1">IFERROR(INDEX(UNSPSCDes,MATCH(INDIRECT(ADDRESS(ROW(),COLUMN()-1,4)),UNSPSCCode,0)),IF(INDIRECT(ADDRESS(ROW(),COLUMN()-1,4))="25172504","Neumáticos para automoviles o camiones ligeros",""))</f>
        <v>Neumáticos para automoviles o camiones ligeros</v>
      </c>
      <c r="C1303" s="42" t="str">
        <f>IFERROR(VLOOKUP("UD",'[1]Informacion '!P:Q,2,FALSE),"")</f>
        <v>Unidad</v>
      </c>
      <c r="D1303" s="40">
        <v>4</v>
      </c>
      <c r="E1303" s="43">
        <v>7500</v>
      </c>
      <c r="F1303" s="44">
        <f t="shared" ca="1" si="41"/>
        <v>30000</v>
      </c>
    </row>
    <row r="1304" spans="1:6" x14ac:dyDescent="0.3">
      <c r="A1304" s="30"/>
      <c r="B1304" s="30"/>
      <c r="C1304" s="30"/>
      <c r="D1304" s="30"/>
      <c r="E1304" s="45" t="s">
        <v>52</v>
      </c>
      <c r="F1304" s="46">
        <f ca="1">SUM(Table62[MONTO TOTAL ESTIMADO])</f>
        <v>181100</v>
      </c>
    </row>
    <row r="1305" spans="1:6" ht="15" thickBot="1" x14ac:dyDescent="0.35">
      <c r="A1305" s="30"/>
      <c r="B1305" s="30"/>
      <c r="C1305" s="30"/>
      <c r="D1305" s="30"/>
      <c r="E1305" s="30"/>
      <c r="F1305" s="30"/>
    </row>
    <row r="1306" spans="1:6" ht="21" thickBot="1" x14ac:dyDescent="0.35">
      <c r="A1306" s="31" t="s">
        <v>19</v>
      </c>
      <c r="B1306" s="31" t="s">
        <v>20</v>
      </c>
      <c r="C1306" s="31" t="s">
        <v>21</v>
      </c>
      <c r="D1306" s="31" t="s">
        <v>22</v>
      </c>
      <c r="E1306" s="31" t="s">
        <v>23</v>
      </c>
      <c r="F1306" s="31" t="s">
        <v>24</v>
      </c>
    </row>
    <row r="1307" spans="1:6" ht="21" thickBot="1" x14ac:dyDescent="0.35">
      <c r="A1307" s="12" t="s">
        <v>320</v>
      </c>
      <c r="B1307" s="12" t="s">
        <v>320</v>
      </c>
      <c r="C1307" s="12" t="s">
        <v>27</v>
      </c>
      <c r="D1307" s="12" t="s">
        <v>28</v>
      </c>
      <c r="E1307" s="12" t="s">
        <v>59</v>
      </c>
      <c r="F1307" s="12"/>
    </row>
    <row r="1308" spans="1:6" ht="15" thickBot="1" x14ac:dyDescent="0.35">
      <c r="A1308" s="32" t="s">
        <v>30</v>
      </c>
      <c r="B1308" s="33" t="s">
        <v>31</v>
      </c>
      <c r="C1308" s="34">
        <v>45873</v>
      </c>
      <c r="D1308" s="32" t="s">
        <v>32</v>
      </c>
      <c r="E1308" s="35" t="s">
        <v>33</v>
      </c>
      <c r="F1308" s="36" t="s">
        <v>34</v>
      </c>
    </row>
    <row r="1309" spans="1:6" ht="15" thickBot="1" x14ac:dyDescent="0.35">
      <c r="A1309" s="37"/>
      <c r="B1309" s="33" t="s">
        <v>35</v>
      </c>
      <c r="C1309" s="38">
        <f>IF(C1308="","",IF(AND(MONTH(C1308)&gt;=1,MONTH(C1308)&lt;=3),1,IF(AND(MONTH(C1308)&gt;=4,MONTH(C1308)&lt;=6),2,IF(AND(MONTH(C1308)&gt;=7,MONTH(C1308)&lt;=9),3,4))))</f>
        <v>3</v>
      </c>
      <c r="D1309" s="37"/>
      <c r="E1309" s="35" t="s">
        <v>36</v>
      </c>
      <c r="F1309" s="36" t="s">
        <v>37</v>
      </c>
    </row>
    <row r="1310" spans="1:6" ht="15" thickBot="1" x14ac:dyDescent="0.35">
      <c r="A1310" s="37"/>
      <c r="B1310" s="33" t="s">
        <v>38</v>
      </c>
      <c r="C1310" s="34">
        <v>45877</v>
      </c>
      <c r="D1310" s="37"/>
      <c r="E1310" s="35" t="s">
        <v>39</v>
      </c>
      <c r="F1310" s="36" t="s">
        <v>37</v>
      </c>
    </row>
    <row r="1311" spans="1:6" ht="15" thickBot="1" x14ac:dyDescent="0.35">
      <c r="A1311" s="37"/>
      <c r="B1311" s="33" t="s">
        <v>35</v>
      </c>
      <c r="C1311" s="38">
        <f>IF(C1310="","",IF(AND(MONTH(C1310)&gt;=1,MONTH(C1310)&lt;=3),1,IF(AND(MONTH(C1310)&gt;=4,MONTH(C1310)&lt;=6),2,IF(AND(MONTH(C1310)&gt;=7,MONTH(C1310)&lt;=9),3,4))))</f>
        <v>3</v>
      </c>
      <c r="D1311" s="37"/>
      <c r="E1311" s="35" t="s">
        <v>40</v>
      </c>
      <c r="F1311" s="36"/>
    </row>
    <row r="1312" spans="1:6" ht="15" thickBot="1" x14ac:dyDescent="0.35">
      <c r="A1312" s="30"/>
      <c r="B1312" s="30"/>
      <c r="C1312" s="30"/>
      <c r="D1312" s="30"/>
      <c r="E1312" s="30"/>
      <c r="F1312" s="30"/>
    </row>
    <row r="1313" spans="1:6" ht="15" thickBot="1" x14ac:dyDescent="0.35">
      <c r="A1313" s="39" t="s">
        <v>41</v>
      </c>
      <c r="B1313" s="39" t="s">
        <v>42</v>
      </c>
      <c r="C1313" s="39" t="s">
        <v>43</v>
      </c>
      <c r="D1313" s="39" t="s">
        <v>44</v>
      </c>
      <c r="E1313" s="39" t="s">
        <v>45</v>
      </c>
      <c r="F1313" s="39" t="s">
        <v>46</v>
      </c>
    </row>
    <row r="1314" spans="1:6" x14ac:dyDescent="0.3">
      <c r="A1314" s="40" t="s">
        <v>213</v>
      </c>
      <c r="B1314" s="41" t="str">
        <f ca="1">IFERROR(INDEX(UNSPSCDes,MATCH(INDIRECT(ADDRESS(ROW(),COLUMN()-1,4)),UNSPSCCode,0)),IF(INDIRECT(ADDRESS(ROW(),COLUMN()-1,4))="11111701","Arena de sílice",""))</f>
        <v>Arena de sílice</v>
      </c>
      <c r="C1314" s="42" t="str">
        <f>IFERROR(VLOOKUP("M3",'[1]Informacion '!P:Q,2,FALSE),"")</f>
        <v>Metro cúbico</v>
      </c>
      <c r="D1314" s="40">
        <v>24</v>
      </c>
      <c r="E1314" s="43">
        <v>2600</v>
      </c>
      <c r="F1314" s="44">
        <f ca="1">INDIRECT(ADDRESS(ROW(),COLUMN()-2,4))*INDIRECT(ADDRESS(ROW(),COLUMN()-1,4))</f>
        <v>62400</v>
      </c>
    </row>
    <row r="1315" spans="1:6" x14ac:dyDescent="0.3">
      <c r="A1315" s="40" t="s">
        <v>214</v>
      </c>
      <c r="B1315" s="41" t="str">
        <f ca="1">IFERROR(INDEX(UNSPSCDes,MATCH(INDIRECT(ADDRESS(ROW(),COLUMN()-1,4)),UNSPSCCode,0)),IF(INDIRECT(ADDRESS(ROW(),COLUMN()-1,4))="30111601","Cemento",""))</f>
        <v>Cemento</v>
      </c>
      <c r="C1315" s="42" t="str">
        <f>IFERROR(VLOOKUP("UD",'[1]Informacion '!P:Q,2,FALSE),"")</f>
        <v>Unidad</v>
      </c>
      <c r="D1315" s="40">
        <v>400</v>
      </c>
      <c r="E1315" s="43">
        <v>550</v>
      </c>
      <c r="F1315" s="44">
        <f ca="1">INDIRECT(ADDRESS(ROW(),COLUMN()-2,4))*INDIRECT(ADDRESS(ROW(),COLUMN()-1,4))</f>
        <v>220000</v>
      </c>
    </row>
    <row r="1316" spans="1:6" x14ac:dyDescent="0.3">
      <c r="A1316" s="40" t="s">
        <v>215</v>
      </c>
      <c r="B1316" s="41" t="str">
        <f ca="1">IFERROR(INDEX(UNSPSCDes,MATCH(INDIRECT(ADDRESS(ROW(),COLUMN()-1,4)),UNSPSCCode,0)),IF(INDIRECT(ADDRESS(ROW(),COLUMN()-1,4))="30131502","Bloques de concreto",""))</f>
        <v>Bloques de concreto</v>
      </c>
      <c r="C1316" s="42" t="str">
        <f>IFERROR(VLOOKUP("UD",'[1]Informacion '!P:Q,2,FALSE),"")</f>
        <v>Unidad</v>
      </c>
      <c r="D1316" s="40">
        <v>1000</v>
      </c>
      <c r="E1316" s="43">
        <v>50</v>
      </c>
      <c r="F1316" s="44">
        <f ca="1">INDIRECT(ADDRESS(ROW(),COLUMN()-2,4))*INDIRECT(ADDRESS(ROW(),COLUMN()-1,4))</f>
        <v>50000</v>
      </c>
    </row>
    <row r="1317" spans="1:6" x14ac:dyDescent="0.3">
      <c r="A1317" s="40" t="s">
        <v>216</v>
      </c>
      <c r="B1317" s="41" t="str">
        <f ca="1">IFERROR(INDEX(UNSPSCDes,MATCH(INDIRECT(ADDRESS(ROW(),COLUMN()-1,4)),UNSPSCCode,0)),IF(INDIRECT(ADDRESS(ROW(),COLUMN()-1,4))="11111611","Gravilla",""))</f>
        <v>Gravilla</v>
      </c>
      <c r="C1317" s="42" t="str">
        <f>IFERROR(VLOOKUP("M3",'[1]Informacion '!P:Q,2,FALSE),"")</f>
        <v>Metro cúbico</v>
      </c>
      <c r="D1317" s="40">
        <v>24</v>
      </c>
      <c r="E1317" s="43">
        <v>1600</v>
      </c>
      <c r="F1317" s="44">
        <f ca="1">INDIRECT(ADDRESS(ROW(),COLUMN()-2,4))*INDIRECT(ADDRESS(ROW(),COLUMN()-1,4))</f>
        <v>38400</v>
      </c>
    </row>
    <row r="1318" spans="1:6" x14ac:dyDescent="0.3">
      <c r="A1318" s="40" t="s">
        <v>217</v>
      </c>
      <c r="B1318" s="41" t="str">
        <f ca="1">IFERROR(INDEX(UNSPSCDes,MATCH(INDIRECT(ADDRESS(ROW(),COLUMN()-1,4)),UNSPSCCode,0)),IF(INDIRECT(ADDRESS(ROW(),COLUMN()-1,4))="30102403","Varillas de hierro",""))</f>
        <v>Varillas de hierro</v>
      </c>
      <c r="C1318" s="42" t="str">
        <f>IFERROR(VLOOKUP("Q",'[1]Informacion '!P:Q,2,FALSE),"")</f>
        <v>Quintal</v>
      </c>
      <c r="D1318" s="40">
        <v>20</v>
      </c>
      <c r="E1318" s="43">
        <v>4000</v>
      </c>
      <c r="F1318" s="44">
        <f ca="1">INDIRECT(ADDRESS(ROW(),COLUMN()-2,4))*INDIRECT(ADDRESS(ROW(),COLUMN()-1,4))</f>
        <v>80000</v>
      </c>
    </row>
    <row r="1319" spans="1:6" x14ac:dyDescent="0.3">
      <c r="A1319" s="30"/>
      <c r="B1319" s="30"/>
      <c r="C1319" s="30"/>
      <c r="D1319" s="30"/>
      <c r="E1319" s="45" t="s">
        <v>52</v>
      </c>
      <c r="F1319" s="46">
        <f ca="1">SUM(Table63[MONTO TOTAL ESTIMADO])</f>
        <v>450800</v>
      </c>
    </row>
    <row r="1320" spans="1:6" ht="15" thickBot="1" x14ac:dyDescent="0.35">
      <c r="A1320" s="30"/>
      <c r="B1320" s="30"/>
      <c r="C1320" s="30"/>
      <c r="D1320" s="30"/>
      <c r="E1320" s="30"/>
      <c r="F1320" s="30"/>
    </row>
    <row r="1321" spans="1:6" ht="21" thickBot="1" x14ac:dyDescent="0.35">
      <c r="A1321" s="31" t="s">
        <v>19</v>
      </c>
      <c r="B1321" s="31" t="s">
        <v>20</v>
      </c>
      <c r="C1321" s="31" t="s">
        <v>21</v>
      </c>
      <c r="D1321" s="31" t="s">
        <v>22</v>
      </c>
      <c r="E1321" s="31" t="s">
        <v>23</v>
      </c>
      <c r="F1321" s="31" t="s">
        <v>24</v>
      </c>
    </row>
    <row r="1322" spans="1:6" ht="31.2" thickBot="1" x14ac:dyDescent="0.35">
      <c r="A1322" s="12" t="s">
        <v>321</v>
      </c>
      <c r="B1322" s="12" t="s">
        <v>321</v>
      </c>
      <c r="C1322" s="12" t="s">
        <v>27</v>
      </c>
      <c r="D1322" s="12" t="s">
        <v>28</v>
      </c>
      <c r="E1322" s="12" t="s">
        <v>59</v>
      </c>
      <c r="F1322" s="12"/>
    </row>
    <row r="1323" spans="1:6" ht="15" thickBot="1" x14ac:dyDescent="0.35">
      <c r="A1323" s="32" t="s">
        <v>30</v>
      </c>
      <c r="B1323" s="33" t="s">
        <v>31</v>
      </c>
      <c r="C1323" s="34">
        <v>45873</v>
      </c>
      <c r="D1323" s="32" t="s">
        <v>32</v>
      </c>
      <c r="E1323" s="35" t="s">
        <v>33</v>
      </c>
      <c r="F1323" s="36" t="s">
        <v>34</v>
      </c>
    </row>
    <row r="1324" spans="1:6" ht="15" thickBot="1" x14ac:dyDescent="0.35">
      <c r="A1324" s="37"/>
      <c r="B1324" s="33" t="s">
        <v>35</v>
      </c>
      <c r="C1324" s="38">
        <f>IF(C1323="","",IF(AND(MONTH(C1323)&gt;=1,MONTH(C1323)&lt;=3),1,IF(AND(MONTH(C1323)&gt;=4,MONTH(C1323)&lt;=6),2,IF(AND(MONTH(C1323)&gt;=7,MONTH(C1323)&lt;=9),3,4))))</f>
        <v>3</v>
      </c>
      <c r="D1324" s="37"/>
      <c r="E1324" s="35" t="s">
        <v>36</v>
      </c>
      <c r="F1324" s="36" t="s">
        <v>37</v>
      </c>
    </row>
    <row r="1325" spans="1:6" ht="15" thickBot="1" x14ac:dyDescent="0.35">
      <c r="A1325" s="37"/>
      <c r="B1325" s="33" t="s">
        <v>38</v>
      </c>
      <c r="C1325" s="34">
        <v>45880</v>
      </c>
      <c r="D1325" s="37"/>
      <c r="E1325" s="35" t="s">
        <v>39</v>
      </c>
      <c r="F1325" s="36"/>
    </row>
    <row r="1326" spans="1:6" ht="15" thickBot="1" x14ac:dyDescent="0.35">
      <c r="A1326" s="37"/>
      <c r="B1326" s="33" t="s">
        <v>35</v>
      </c>
      <c r="C1326" s="38">
        <f>IF(C1325="","",IF(AND(MONTH(C1325)&gt;=1,MONTH(C1325)&lt;=3),1,IF(AND(MONTH(C1325)&gt;=4,MONTH(C1325)&lt;=6),2,IF(AND(MONTH(C1325)&gt;=7,MONTH(C1325)&lt;=9),3,4))))</f>
        <v>3</v>
      </c>
      <c r="D1326" s="37"/>
      <c r="E1326" s="35" t="s">
        <v>40</v>
      </c>
      <c r="F1326" s="36"/>
    </row>
    <row r="1327" spans="1:6" ht="15" thickBot="1" x14ac:dyDescent="0.35">
      <c r="A1327" s="30"/>
      <c r="B1327" s="30"/>
      <c r="C1327" s="30"/>
      <c r="D1327" s="30"/>
      <c r="E1327" s="30"/>
      <c r="F1327" s="30"/>
    </row>
    <row r="1328" spans="1:6" ht="15" thickBot="1" x14ac:dyDescent="0.35">
      <c r="A1328" s="39" t="s">
        <v>41</v>
      </c>
      <c r="B1328" s="39" t="s">
        <v>42</v>
      </c>
      <c r="C1328" s="39" t="s">
        <v>43</v>
      </c>
      <c r="D1328" s="39" t="s">
        <v>44</v>
      </c>
      <c r="E1328" s="39" t="s">
        <v>45</v>
      </c>
      <c r="F1328" s="39" t="s">
        <v>46</v>
      </c>
    </row>
    <row r="1329" spans="1:6" x14ac:dyDescent="0.3">
      <c r="A1329" s="40" t="s">
        <v>246</v>
      </c>
      <c r="B1329" s="41" t="str">
        <f ca="1">IFERROR(INDEX(UNSPSCDes,MATCH(INDIRECT(ADDRESS(ROW(),COLUMN()-1,4)),UNSPSCCode,0)),IF(INDIRECT(ADDRESS(ROW(),COLUMN()-1,4))="46171501","Candados",""))</f>
        <v>Candados</v>
      </c>
      <c r="C1329" s="42" t="str">
        <f>IFERROR(VLOOKUP("UD",'[1]Informacion '!P:Q,2,FALSE),"")</f>
        <v>Unidad</v>
      </c>
      <c r="D1329" s="40">
        <v>10</v>
      </c>
      <c r="E1329" s="43">
        <v>1100</v>
      </c>
      <c r="F1329" s="44">
        <f t="shared" ref="F1329:F1360" ca="1" si="42">INDIRECT(ADDRESS(ROW(),COLUMN()-2,4))*INDIRECT(ADDRESS(ROW(),COLUMN()-1,4))</f>
        <v>11000</v>
      </c>
    </row>
    <row r="1330" spans="1:6" x14ac:dyDescent="0.3">
      <c r="A1330" s="40" t="s">
        <v>246</v>
      </c>
      <c r="B1330" s="41" t="str">
        <f ca="1">IFERROR(INDEX(UNSPSCDes,MATCH(INDIRECT(ADDRESS(ROW(),COLUMN()-1,4)),UNSPSCCode,0)),IF(INDIRECT(ADDRESS(ROW(),COLUMN()-1,4))="46171501","Candados",""))</f>
        <v>Candados</v>
      </c>
      <c r="C1330" s="42" t="str">
        <f>IFERROR(VLOOKUP("UD",'[1]Informacion '!P:Q,2,FALSE),"")</f>
        <v>Unidad</v>
      </c>
      <c r="D1330" s="40">
        <v>10</v>
      </c>
      <c r="E1330" s="43">
        <v>800</v>
      </c>
      <c r="F1330" s="44">
        <f t="shared" ca="1" si="42"/>
        <v>8000</v>
      </c>
    </row>
    <row r="1331" spans="1:6" x14ac:dyDescent="0.3">
      <c r="A1331" s="40" t="s">
        <v>82</v>
      </c>
      <c r="B1331" s="41" t="str">
        <f ca="1">IFERROR(INDEX(UNSPSCDes,MATCH(INDIRECT(ADDRESS(ROW(),COLUMN()-1,4)),UNSPSCCode,0)),IF(INDIRECT(ADDRESS(ROW(),COLUMN()-1,4))="31201610","Pegamentos",""))</f>
        <v>Pegamentos</v>
      </c>
      <c r="C1331" s="42" t="str">
        <f>IFERROR(VLOOKUP("UD",'[1]Informacion '!P:Q,2,FALSE),"")</f>
        <v>Unidad</v>
      </c>
      <c r="D1331" s="40">
        <v>6</v>
      </c>
      <c r="E1331" s="43">
        <v>950</v>
      </c>
      <c r="F1331" s="44">
        <f t="shared" ca="1" si="42"/>
        <v>5700</v>
      </c>
    </row>
    <row r="1332" spans="1:6" x14ac:dyDescent="0.3">
      <c r="A1332" s="40" t="s">
        <v>247</v>
      </c>
      <c r="B1332" s="41" t="str">
        <f ca="1">IFERROR(INDEX(UNSPSCDes,MATCH(INDIRECT(ADDRESS(ROW(),COLUMN()-1,4)),UNSPSCCode,0)),IF(INDIRECT(ADDRESS(ROW(),COLUMN()-1,4))="11101502","Lija o esmeril",""))</f>
        <v>Lija o esmeril</v>
      </c>
      <c r="C1332" s="42" t="str">
        <f>IFERROR(VLOOKUP("UD",'[1]Informacion '!P:Q,2,FALSE),"")</f>
        <v>Unidad</v>
      </c>
      <c r="D1332" s="40">
        <v>50</v>
      </c>
      <c r="E1332" s="43">
        <v>50</v>
      </c>
      <c r="F1332" s="44">
        <f t="shared" ca="1" si="42"/>
        <v>2500</v>
      </c>
    </row>
    <row r="1333" spans="1:6" x14ac:dyDescent="0.3">
      <c r="A1333" s="40" t="s">
        <v>248</v>
      </c>
      <c r="B1333" s="41" t="str">
        <f ca="1">IFERROR(INDEX(UNSPSCDes,MATCH(INDIRECT(ADDRESS(ROW(),COLUMN()-1,4)),UNSPSCCode,0)),IF(INDIRECT(ADDRESS(ROW(),COLUMN()-1,4))="12181601","Aceites sintéticos",""))</f>
        <v>Aceites sintéticos</v>
      </c>
      <c r="C1333" s="42" t="str">
        <f>IFERROR(VLOOKUP("GAL",'[1]Informacion '!P:Q,2,FALSE),"")</f>
        <v>Galón</v>
      </c>
      <c r="D1333" s="40">
        <v>2</v>
      </c>
      <c r="E1333" s="43">
        <v>1800</v>
      </c>
      <c r="F1333" s="44">
        <f t="shared" ca="1" si="42"/>
        <v>3600</v>
      </c>
    </row>
    <row r="1334" spans="1:6" x14ac:dyDescent="0.3">
      <c r="A1334" s="40" t="s">
        <v>249</v>
      </c>
      <c r="B1334" s="41" t="str">
        <f ca="1">IFERROR(INDEX(UNSPSCDes,MATCH(INDIRECT(ADDRESS(ROW(),COLUMN()-1,4)),UNSPSCCode,0)),IF(INDIRECT(ADDRESS(ROW(),COLUMN()-1,4))="31211803","Diluyentes para pinturas y barnices",""))</f>
        <v>Diluyentes para pinturas y barnices</v>
      </c>
      <c r="C1334" s="42" t="str">
        <f>IFERROR(VLOOKUP("UD",'[1]Informacion '!P:Q,2,FALSE),"")</f>
        <v>Unidad</v>
      </c>
      <c r="D1334" s="40">
        <v>6</v>
      </c>
      <c r="E1334" s="43">
        <v>500</v>
      </c>
      <c r="F1334" s="44">
        <f t="shared" ca="1" si="42"/>
        <v>3000</v>
      </c>
    </row>
    <row r="1335" spans="1:6" x14ac:dyDescent="0.3">
      <c r="A1335" s="40" t="s">
        <v>249</v>
      </c>
      <c r="B1335" s="41" t="str">
        <f ca="1">IFERROR(INDEX(UNSPSCDes,MATCH(INDIRECT(ADDRESS(ROW(),COLUMN()-1,4)),UNSPSCCode,0)),IF(INDIRECT(ADDRESS(ROW(),COLUMN()-1,4))="31211803","Diluyentes para pinturas y barnices",""))</f>
        <v>Diluyentes para pinturas y barnices</v>
      </c>
      <c r="C1335" s="42" t="str">
        <f>IFERROR(VLOOKUP("UD",'[1]Informacion '!P:Q,2,FALSE),"")</f>
        <v>Unidad</v>
      </c>
      <c r="D1335" s="40">
        <v>12</v>
      </c>
      <c r="E1335" s="43">
        <v>350</v>
      </c>
      <c r="F1335" s="44">
        <f t="shared" ca="1" si="42"/>
        <v>4200</v>
      </c>
    </row>
    <row r="1336" spans="1:6" x14ac:dyDescent="0.3">
      <c r="A1336" s="40" t="s">
        <v>322</v>
      </c>
      <c r="B1336" s="41" t="str">
        <f ca="1">IFERROR(INDEX(UNSPSCDes,MATCH(INDIRECT(ADDRESS(ROW(),COLUMN()-1,4)),UNSPSCCode,0)),IF(INDIRECT(ADDRESS(ROW(),COLUMN()-1,4))="27112823","Cadenas de corte",""))</f>
        <v>Cadenas de corte</v>
      </c>
      <c r="C1336" s="42" t="str">
        <f>IFERROR(VLOOKUP("UD",'[1]Informacion '!P:Q,2,FALSE),"")</f>
        <v>Unidad</v>
      </c>
      <c r="D1336" s="40">
        <v>6</v>
      </c>
      <c r="E1336" s="43">
        <v>1600</v>
      </c>
      <c r="F1336" s="44">
        <f t="shared" ca="1" si="42"/>
        <v>9600</v>
      </c>
    </row>
    <row r="1337" spans="1:6" x14ac:dyDescent="0.3">
      <c r="A1337" s="40" t="s">
        <v>250</v>
      </c>
      <c r="B1337" s="41" t="str">
        <f t="shared" ref="B1337:B1342" ca="1" si="43">IFERROR(INDEX(UNSPSCDes,MATCH(INDIRECT(ADDRESS(ROW(),COLUMN()-1,4)),UNSPSCCode,0)),IF(INDIRECT(ADDRESS(ROW(),COLUMN()-1,4))="31211508","Pinturas acrílicas",""))</f>
        <v>Pinturas acrílicas</v>
      </c>
      <c r="C1337" s="42" t="str">
        <f>IFERROR(VLOOKUP("GAL",'[1]Informacion '!P:Q,2,FALSE),"")</f>
        <v>Galón</v>
      </c>
      <c r="D1337" s="40">
        <v>15</v>
      </c>
      <c r="E1337" s="43">
        <v>1250</v>
      </c>
      <c r="F1337" s="44">
        <f t="shared" ca="1" si="42"/>
        <v>18750</v>
      </c>
    </row>
    <row r="1338" spans="1:6" x14ac:dyDescent="0.3">
      <c r="A1338" s="40" t="s">
        <v>250</v>
      </c>
      <c r="B1338" s="41" t="str">
        <f t="shared" ca="1" si="43"/>
        <v>Pinturas acrílicas</v>
      </c>
      <c r="C1338" s="42" t="str">
        <f>IFERROR(VLOOKUP("GAL",'[1]Informacion '!P:Q,2,FALSE),"")</f>
        <v>Galón</v>
      </c>
      <c r="D1338" s="40">
        <v>10</v>
      </c>
      <c r="E1338" s="43">
        <v>1250</v>
      </c>
      <c r="F1338" s="44">
        <f t="shared" ca="1" si="42"/>
        <v>12500</v>
      </c>
    </row>
    <row r="1339" spans="1:6" x14ac:dyDescent="0.3">
      <c r="A1339" s="40" t="s">
        <v>250</v>
      </c>
      <c r="B1339" s="41" t="str">
        <f t="shared" ca="1" si="43"/>
        <v>Pinturas acrílicas</v>
      </c>
      <c r="C1339" s="42" t="str">
        <f>IFERROR(VLOOKUP("GAL",'[1]Informacion '!P:Q,2,FALSE),"")</f>
        <v>Galón</v>
      </c>
      <c r="D1339" s="40">
        <v>10</v>
      </c>
      <c r="E1339" s="43">
        <v>1250</v>
      </c>
      <c r="F1339" s="44">
        <f t="shared" ca="1" si="42"/>
        <v>12500</v>
      </c>
    </row>
    <row r="1340" spans="1:6" x14ac:dyDescent="0.3">
      <c r="A1340" s="40" t="s">
        <v>250</v>
      </c>
      <c r="B1340" s="41" t="str">
        <f t="shared" ca="1" si="43"/>
        <v>Pinturas acrílicas</v>
      </c>
      <c r="C1340" s="42" t="str">
        <f>IFERROR(VLOOKUP("GAL",'[1]Informacion '!P:Q,2,FALSE),"")</f>
        <v>Galón</v>
      </c>
      <c r="D1340" s="40">
        <v>10</v>
      </c>
      <c r="E1340" s="43">
        <v>1250</v>
      </c>
      <c r="F1340" s="44">
        <f t="shared" ca="1" si="42"/>
        <v>12500</v>
      </c>
    </row>
    <row r="1341" spans="1:6" x14ac:dyDescent="0.3">
      <c r="A1341" s="40" t="s">
        <v>250</v>
      </c>
      <c r="B1341" s="41" t="str">
        <f t="shared" ca="1" si="43"/>
        <v>Pinturas acrílicas</v>
      </c>
      <c r="C1341" s="42" t="str">
        <f>IFERROR(VLOOKUP("GAL",'[1]Informacion '!P:Q,2,FALSE),"")</f>
        <v>Galón</v>
      </c>
      <c r="D1341" s="40">
        <v>12</v>
      </c>
      <c r="E1341" s="43">
        <v>1250</v>
      </c>
      <c r="F1341" s="44">
        <f t="shared" ca="1" si="42"/>
        <v>15000</v>
      </c>
    </row>
    <row r="1342" spans="1:6" x14ac:dyDescent="0.3">
      <c r="A1342" s="40" t="s">
        <v>250</v>
      </c>
      <c r="B1342" s="41" t="str">
        <f t="shared" ca="1" si="43"/>
        <v>Pinturas acrílicas</v>
      </c>
      <c r="C1342" s="42" t="str">
        <f>IFERROR(VLOOKUP("UD",'[1]Informacion '!P:Q,2,FALSE),"")</f>
        <v>Unidad</v>
      </c>
      <c r="D1342" s="40">
        <v>6</v>
      </c>
      <c r="E1342" s="43">
        <v>6800</v>
      </c>
      <c r="F1342" s="44">
        <f t="shared" ca="1" si="42"/>
        <v>40800</v>
      </c>
    </row>
    <row r="1343" spans="1:6" x14ac:dyDescent="0.3">
      <c r="A1343" s="40" t="s">
        <v>252</v>
      </c>
      <c r="B1343" s="41" t="str">
        <f ca="1">IFERROR(INDEX(UNSPSCDes,MATCH(INDIRECT(ADDRESS(ROW(),COLUMN()-1,4)),UNSPSCCode,0)),IF(INDIRECT(ADDRESS(ROW(),COLUMN()-1,4))="31211501","Pinturas de esmalte",""))</f>
        <v>Pinturas de esmalte</v>
      </c>
      <c r="C1343" s="42" t="str">
        <f>IFERROR(VLOOKUP("GAL",'[1]Informacion '!P:Q,2,FALSE),"")</f>
        <v>Galón</v>
      </c>
      <c r="D1343" s="40">
        <v>10</v>
      </c>
      <c r="E1343" s="43">
        <v>1800</v>
      </c>
      <c r="F1343" s="44">
        <f t="shared" ca="1" si="42"/>
        <v>18000</v>
      </c>
    </row>
    <row r="1344" spans="1:6" x14ac:dyDescent="0.3">
      <c r="A1344" s="40" t="s">
        <v>252</v>
      </c>
      <c r="B1344" s="41" t="str">
        <f ca="1">IFERROR(INDEX(UNSPSCDes,MATCH(INDIRECT(ADDRESS(ROW(),COLUMN()-1,4)),UNSPSCCode,0)),IF(INDIRECT(ADDRESS(ROW(),COLUMN()-1,4))="31211501","Pinturas de esmalte",""))</f>
        <v>Pinturas de esmalte</v>
      </c>
      <c r="C1344" s="42" t="str">
        <f>IFERROR(VLOOKUP("GAL",'[1]Informacion '!P:Q,2,FALSE),"")</f>
        <v>Galón</v>
      </c>
      <c r="D1344" s="40">
        <v>10</v>
      </c>
      <c r="E1344" s="43">
        <v>1800</v>
      </c>
      <c r="F1344" s="44">
        <f t="shared" ca="1" si="42"/>
        <v>18000</v>
      </c>
    </row>
    <row r="1345" spans="1:6" x14ac:dyDescent="0.3">
      <c r="A1345" s="40" t="s">
        <v>252</v>
      </c>
      <c r="B1345" s="41" t="str">
        <f ca="1">IFERROR(INDEX(UNSPSCDes,MATCH(INDIRECT(ADDRESS(ROW(),COLUMN()-1,4)),UNSPSCCode,0)),IF(INDIRECT(ADDRESS(ROW(),COLUMN()-1,4))="31211501","Pinturas de esmalte",""))</f>
        <v>Pinturas de esmalte</v>
      </c>
      <c r="C1345" s="42" t="str">
        <f>IFERROR(VLOOKUP("GAL",'[1]Informacion '!P:Q,2,FALSE),"")</f>
        <v>Galón</v>
      </c>
      <c r="D1345" s="40">
        <v>10</v>
      </c>
      <c r="E1345" s="43">
        <v>1800</v>
      </c>
      <c r="F1345" s="44">
        <f t="shared" ca="1" si="42"/>
        <v>18000</v>
      </c>
    </row>
    <row r="1346" spans="1:6" x14ac:dyDescent="0.3">
      <c r="A1346" s="40" t="s">
        <v>252</v>
      </c>
      <c r="B1346" s="41" t="str">
        <f ca="1">IFERROR(INDEX(UNSPSCDes,MATCH(INDIRECT(ADDRESS(ROW(),COLUMN()-1,4)),UNSPSCCode,0)),IF(INDIRECT(ADDRESS(ROW(),COLUMN()-1,4))="31211501","Pinturas de esmalte",""))</f>
        <v>Pinturas de esmalte</v>
      </c>
      <c r="C1346" s="42" t="str">
        <f>IFERROR(VLOOKUP("GAL",'[1]Informacion '!P:Q,2,FALSE),"")</f>
        <v>Galón</v>
      </c>
      <c r="D1346" s="40">
        <v>10</v>
      </c>
      <c r="E1346" s="43">
        <v>1800</v>
      </c>
      <c r="F1346" s="44">
        <f t="shared" ca="1" si="42"/>
        <v>18000</v>
      </c>
    </row>
    <row r="1347" spans="1:6" x14ac:dyDescent="0.3">
      <c r="A1347" s="40" t="s">
        <v>255</v>
      </c>
      <c r="B1347" s="41" t="str">
        <f ca="1">IFERROR(INDEX(UNSPSCDes,MATCH(INDIRECT(ADDRESS(ROW(),COLUMN()-1,4)),UNSPSCCode,0)),IF(INDIRECT(ADDRESS(ROW(),COLUMN()-1,4))="11162116","Tela de fique o estopa",""))</f>
        <v>Tela de fique o estopa</v>
      </c>
      <c r="C1347" s="42" t="str">
        <f>IFERROR(VLOOKUP("PAQ",'[1]Informacion '!P:Q,2,FALSE),"")</f>
        <v>Paquete</v>
      </c>
      <c r="D1347" s="40">
        <v>15</v>
      </c>
      <c r="E1347" s="43">
        <v>75</v>
      </c>
      <c r="F1347" s="44">
        <f t="shared" ca="1" si="42"/>
        <v>1125</v>
      </c>
    </row>
    <row r="1348" spans="1:6" x14ac:dyDescent="0.3">
      <c r="A1348" s="40" t="s">
        <v>258</v>
      </c>
      <c r="B1348" s="41" t="str">
        <f ca="1">IFERROR(INDEX(UNSPSCDes,MATCH(INDIRECT(ADDRESS(ROW(),COLUMN()-1,4)),UNSPSCCode,0)),IF(INDIRECT(ADDRESS(ROW(),COLUMN()-1,4))="31211904","Brochas",""))</f>
        <v>Brochas</v>
      </c>
      <c r="C1348" s="42" t="str">
        <f>IFERROR(VLOOKUP("UD",'[1]Informacion '!P:Q,2,FALSE),"")</f>
        <v>Unidad</v>
      </c>
      <c r="D1348" s="40">
        <v>20</v>
      </c>
      <c r="E1348" s="43">
        <v>35</v>
      </c>
      <c r="F1348" s="44">
        <f t="shared" ca="1" si="42"/>
        <v>700</v>
      </c>
    </row>
    <row r="1349" spans="1:6" x14ac:dyDescent="0.3">
      <c r="A1349" s="40" t="s">
        <v>258</v>
      </c>
      <c r="B1349" s="41" t="str">
        <f ca="1">IFERROR(INDEX(UNSPSCDes,MATCH(INDIRECT(ADDRESS(ROW(),COLUMN()-1,4)),UNSPSCCode,0)),IF(INDIRECT(ADDRESS(ROW(),COLUMN()-1,4))="31211904","Brochas",""))</f>
        <v>Brochas</v>
      </c>
      <c r="C1349" s="42" t="str">
        <f>IFERROR(VLOOKUP("UD",'[1]Informacion '!P:Q,2,FALSE),"")</f>
        <v>Unidad</v>
      </c>
      <c r="D1349" s="40">
        <v>20</v>
      </c>
      <c r="E1349" s="43">
        <v>45</v>
      </c>
      <c r="F1349" s="44">
        <f t="shared" ca="1" si="42"/>
        <v>900</v>
      </c>
    </row>
    <row r="1350" spans="1:6" x14ac:dyDescent="0.3">
      <c r="A1350" s="40" t="s">
        <v>258</v>
      </c>
      <c r="B1350" s="41" t="str">
        <f ca="1">IFERROR(INDEX(UNSPSCDes,MATCH(INDIRECT(ADDRESS(ROW(),COLUMN()-1,4)),UNSPSCCode,0)),IF(INDIRECT(ADDRESS(ROW(),COLUMN()-1,4))="31211904","Brochas",""))</f>
        <v>Brochas</v>
      </c>
      <c r="C1350" s="42" t="str">
        <f>IFERROR(VLOOKUP("UD",'[1]Informacion '!P:Q,2,FALSE),"")</f>
        <v>Unidad</v>
      </c>
      <c r="D1350" s="40">
        <v>20</v>
      </c>
      <c r="E1350" s="43">
        <v>55</v>
      </c>
      <c r="F1350" s="44">
        <f t="shared" ca="1" si="42"/>
        <v>1100</v>
      </c>
    </row>
    <row r="1351" spans="1:6" x14ac:dyDescent="0.3">
      <c r="A1351" s="40" t="s">
        <v>259</v>
      </c>
      <c r="B1351" s="41" t="str">
        <f ca="1">IFERROR(INDEX(UNSPSCDes,MATCH(INDIRECT(ADDRESS(ROW(),COLUMN()-1,4)),UNSPSCCode,0)),IF(INDIRECT(ADDRESS(ROW(),COLUMN()-1,4))="31211906","Rodillos de pintar",""))</f>
        <v>Rodillos de pintar</v>
      </c>
      <c r="C1351" s="42" t="str">
        <f>IFERROR(VLOOKUP("UD",'[1]Informacion '!P:Q,2,FALSE),"")</f>
        <v>Unidad</v>
      </c>
      <c r="D1351" s="40">
        <v>15</v>
      </c>
      <c r="E1351" s="43">
        <v>175</v>
      </c>
      <c r="F1351" s="44">
        <f t="shared" ca="1" si="42"/>
        <v>2625</v>
      </c>
    </row>
    <row r="1352" spans="1:6" x14ac:dyDescent="0.3">
      <c r="A1352" s="40" t="s">
        <v>266</v>
      </c>
      <c r="B1352" s="41" t="str">
        <f ca="1">IFERROR(INDEX(UNSPSCDes,MATCH(INDIRECT(ADDRESS(ROW(),COLUMN()-1,4)),UNSPSCCode,0)),IF(INDIRECT(ADDRESS(ROW(),COLUMN()-1,4))="31211705","Barniz de laca",""))</f>
        <v>Barniz de laca</v>
      </c>
      <c r="C1352" s="42" t="str">
        <f>IFERROR(VLOOKUP("UD",'[1]Informacion '!P:Q,2,FALSE),"")</f>
        <v>Unidad</v>
      </c>
      <c r="D1352" s="40">
        <v>6</v>
      </c>
      <c r="E1352" s="43">
        <v>1650</v>
      </c>
      <c r="F1352" s="44">
        <f t="shared" ca="1" si="42"/>
        <v>9900</v>
      </c>
    </row>
    <row r="1353" spans="1:6" x14ac:dyDescent="0.3">
      <c r="A1353" s="40" t="s">
        <v>268</v>
      </c>
      <c r="B1353" s="41" t="str">
        <f ca="1">IFERROR(INDEX(UNSPSCDes,MATCH(INDIRECT(ADDRESS(ROW(),COLUMN()-1,4)),UNSPSCCode,0)),IF(INDIRECT(ADDRESS(ROW(),COLUMN()-1,4))="11121604","Madera blanda",""))</f>
        <v>Madera blanda</v>
      </c>
      <c r="C1353" s="42" t="str">
        <f>IFERROR(VLOOKUP("UD",'[1]Informacion '!P:Q,2,FALSE),"")</f>
        <v>Unidad</v>
      </c>
      <c r="D1353" s="40">
        <v>6</v>
      </c>
      <c r="E1353" s="43">
        <v>1300</v>
      </c>
      <c r="F1353" s="44">
        <f t="shared" ca="1" si="42"/>
        <v>7800</v>
      </c>
    </row>
    <row r="1354" spans="1:6" x14ac:dyDescent="0.3">
      <c r="A1354" s="40" t="s">
        <v>268</v>
      </c>
      <c r="B1354" s="41" t="str">
        <f ca="1">IFERROR(INDEX(UNSPSCDes,MATCH(INDIRECT(ADDRESS(ROW(),COLUMN()-1,4)),UNSPSCCode,0)),IF(INDIRECT(ADDRESS(ROW(),COLUMN()-1,4))="11121604","Madera blanda",""))</f>
        <v>Madera blanda</v>
      </c>
      <c r="C1354" s="42" t="str">
        <f>IFERROR(VLOOKUP("UD",'[1]Informacion '!P:Q,2,FALSE),"")</f>
        <v>Unidad</v>
      </c>
      <c r="D1354" s="40">
        <v>6</v>
      </c>
      <c r="E1354" s="43">
        <v>1800</v>
      </c>
      <c r="F1354" s="44">
        <f t="shared" ca="1" si="42"/>
        <v>10800</v>
      </c>
    </row>
    <row r="1355" spans="1:6" x14ac:dyDescent="0.3">
      <c r="A1355" s="40" t="s">
        <v>268</v>
      </c>
      <c r="B1355" s="41" t="str">
        <f ca="1">IFERROR(INDEX(UNSPSCDes,MATCH(INDIRECT(ADDRESS(ROW(),COLUMN()-1,4)),UNSPSCCode,0)),IF(INDIRECT(ADDRESS(ROW(),COLUMN()-1,4))="11121604","Madera blanda",""))</f>
        <v>Madera blanda</v>
      </c>
      <c r="C1355" s="42" t="str">
        <f>IFERROR(VLOOKUP("UD",'[1]Informacion '!P:Q,2,FALSE),"")</f>
        <v>Unidad</v>
      </c>
      <c r="D1355" s="40">
        <v>6</v>
      </c>
      <c r="E1355" s="43">
        <v>850</v>
      </c>
      <c r="F1355" s="44">
        <f t="shared" ca="1" si="42"/>
        <v>5100</v>
      </c>
    </row>
    <row r="1356" spans="1:6" x14ac:dyDescent="0.3">
      <c r="A1356" s="40" t="s">
        <v>226</v>
      </c>
      <c r="B1356" s="41" t="str">
        <f ca="1">IFERROR(INDEX(UNSPSCDes,MATCH(INDIRECT(ADDRESS(ROW(),COLUMN()-1,4)),UNSPSCCode,0)),IF(INDIRECT(ADDRESS(ROW(),COLUMN()-1,4))="40142115","Tubería de plástico",""))</f>
        <v>Tubería de plástico</v>
      </c>
      <c r="C1356" s="42" t="str">
        <f>IFERROR(VLOOKUP("UD",'[1]Informacion '!P:Q,2,FALSE),"")</f>
        <v>Unidad</v>
      </c>
      <c r="D1356" s="40">
        <v>12</v>
      </c>
      <c r="E1356" s="43">
        <v>200</v>
      </c>
      <c r="F1356" s="44">
        <f t="shared" ca="1" si="42"/>
        <v>2400</v>
      </c>
    </row>
    <row r="1357" spans="1:6" x14ac:dyDescent="0.3">
      <c r="A1357" s="40" t="s">
        <v>226</v>
      </c>
      <c r="B1357" s="41" t="str">
        <f ca="1">IFERROR(INDEX(UNSPSCDes,MATCH(INDIRECT(ADDRESS(ROW(),COLUMN()-1,4)),UNSPSCCode,0)),IF(INDIRECT(ADDRESS(ROW(),COLUMN()-1,4))="40142115","Tubería de plástico",""))</f>
        <v>Tubería de plástico</v>
      </c>
      <c r="C1357" s="42" t="str">
        <f>IFERROR(VLOOKUP("UD",'[1]Informacion '!P:Q,2,FALSE),"")</f>
        <v>Unidad</v>
      </c>
      <c r="D1357" s="40">
        <v>12</v>
      </c>
      <c r="E1357" s="43">
        <v>150</v>
      </c>
      <c r="F1357" s="44">
        <f t="shared" ca="1" si="42"/>
        <v>1800</v>
      </c>
    </row>
    <row r="1358" spans="1:6" x14ac:dyDescent="0.3">
      <c r="A1358" s="40" t="s">
        <v>227</v>
      </c>
      <c r="B1358" s="41" t="str">
        <f ca="1">IFERROR(INDEX(UNSPSCDes,MATCH(INDIRECT(ADDRESS(ROW(),COLUMN()-1,4)),UNSPSCCode,0)),IF(INDIRECT(ADDRESS(ROW(),COLUMN()-1,4))="40142317","Codo de tubería",""))</f>
        <v>Codo de tubería</v>
      </c>
      <c r="C1358" s="42" t="str">
        <f>IFERROR(VLOOKUP("UD",'[1]Informacion '!P:Q,2,FALSE),"")</f>
        <v>Unidad</v>
      </c>
      <c r="D1358" s="40">
        <v>24</v>
      </c>
      <c r="E1358" s="43">
        <v>30</v>
      </c>
      <c r="F1358" s="44">
        <f t="shared" ca="1" si="42"/>
        <v>720</v>
      </c>
    </row>
    <row r="1359" spans="1:6" x14ac:dyDescent="0.3">
      <c r="A1359" s="40" t="s">
        <v>82</v>
      </c>
      <c r="B1359" s="41" t="str">
        <f ca="1">IFERROR(INDEX(UNSPSCDes,MATCH(INDIRECT(ADDRESS(ROW(),COLUMN()-1,4)),UNSPSCCode,0)),IF(INDIRECT(ADDRESS(ROW(),COLUMN()-1,4))="31201610","Pegamentos",""))</f>
        <v>Pegamentos</v>
      </c>
      <c r="C1359" s="42" t="str">
        <f>IFERROR(VLOOKUP("UD",'[1]Informacion '!P:Q,2,FALSE),"")</f>
        <v>Unidad</v>
      </c>
      <c r="D1359" s="40">
        <v>6</v>
      </c>
      <c r="E1359" s="43">
        <v>900</v>
      </c>
      <c r="F1359" s="44">
        <f t="shared" ca="1" si="42"/>
        <v>5400</v>
      </c>
    </row>
    <row r="1360" spans="1:6" x14ac:dyDescent="0.3">
      <c r="A1360" s="40" t="s">
        <v>82</v>
      </c>
      <c r="B1360" s="41" t="str">
        <f ca="1">IFERROR(INDEX(UNSPSCDes,MATCH(INDIRECT(ADDRESS(ROW(),COLUMN()-1,4)),UNSPSCCode,0)),IF(INDIRECT(ADDRESS(ROW(),COLUMN()-1,4))="31201610","Pegamentos",""))</f>
        <v>Pegamentos</v>
      </c>
      <c r="C1360" s="42" t="str">
        <f>IFERROR(VLOOKUP("UD",'[1]Informacion '!P:Q,2,FALSE),"")</f>
        <v>Unidad</v>
      </c>
      <c r="D1360" s="40">
        <v>6</v>
      </c>
      <c r="E1360" s="43">
        <v>500</v>
      </c>
      <c r="F1360" s="44">
        <f t="shared" ca="1" si="42"/>
        <v>3000</v>
      </c>
    </row>
    <row r="1361" spans="1:6" x14ac:dyDescent="0.3">
      <c r="A1361" s="30"/>
      <c r="B1361" s="30"/>
      <c r="C1361" s="30"/>
      <c r="D1361" s="30"/>
      <c r="E1361" s="45" t="s">
        <v>52</v>
      </c>
      <c r="F1361" s="46">
        <f ca="1">SUM(Table64[MONTO TOTAL ESTIMADO])</f>
        <v>285020</v>
      </c>
    </row>
    <row r="1362" spans="1:6" ht="15" thickBot="1" x14ac:dyDescent="0.35">
      <c r="A1362" s="30"/>
      <c r="B1362" s="30"/>
      <c r="C1362" s="30"/>
      <c r="D1362" s="30"/>
      <c r="E1362" s="30"/>
      <c r="F1362" s="30"/>
    </row>
    <row r="1363" spans="1:6" ht="21" thickBot="1" x14ac:dyDescent="0.35">
      <c r="A1363" s="31" t="s">
        <v>19</v>
      </c>
      <c r="B1363" s="31" t="s">
        <v>20</v>
      </c>
      <c r="C1363" s="31" t="s">
        <v>21</v>
      </c>
      <c r="D1363" s="31" t="s">
        <v>22</v>
      </c>
      <c r="E1363" s="31" t="s">
        <v>23</v>
      </c>
      <c r="F1363" s="31" t="s">
        <v>24</v>
      </c>
    </row>
    <row r="1364" spans="1:6" ht="31.2" thickBot="1" x14ac:dyDescent="0.35">
      <c r="A1364" s="12" t="s">
        <v>323</v>
      </c>
      <c r="B1364" s="12" t="s">
        <v>323</v>
      </c>
      <c r="C1364" s="12" t="s">
        <v>27</v>
      </c>
      <c r="D1364" s="12" t="s">
        <v>28</v>
      </c>
      <c r="E1364" s="12" t="s">
        <v>59</v>
      </c>
      <c r="F1364" s="12"/>
    </row>
    <row r="1365" spans="1:6" ht="15" thickBot="1" x14ac:dyDescent="0.35">
      <c r="A1365" s="32" t="s">
        <v>30</v>
      </c>
      <c r="B1365" s="33" t="s">
        <v>31</v>
      </c>
      <c r="C1365" s="34">
        <v>45943</v>
      </c>
      <c r="D1365" s="32" t="s">
        <v>32</v>
      </c>
      <c r="E1365" s="35" t="s">
        <v>33</v>
      </c>
      <c r="F1365" s="36" t="s">
        <v>34</v>
      </c>
    </row>
    <row r="1366" spans="1:6" ht="15" thickBot="1" x14ac:dyDescent="0.35">
      <c r="A1366" s="37"/>
      <c r="B1366" s="33" t="s">
        <v>35</v>
      </c>
      <c r="C1366" s="38">
        <f>IF(C1365="","",IF(AND(MONTH(C1365)&gt;=1,MONTH(C1365)&lt;=3),1,IF(AND(MONTH(C1365)&gt;=4,MONTH(C1365)&lt;=6),2,IF(AND(MONTH(C1365)&gt;=7,MONTH(C1365)&lt;=9),3,4))))</f>
        <v>4</v>
      </c>
      <c r="D1366" s="37"/>
      <c r="E1366" s="35" t="s">
        <v>36</v>
      </c>
      <c r="F1366" s="36" t="s">
        <v>37</v>
      </c>
    </row>
    <row r="1367" spans="1:6" ht="15" thickBot="1" x14ac:dyDescent="0.35">
      <c r="A1367" s="37"/>
      <c r="B1367" s="33" t="s">
        <v>38</v>
      </c>
      <c r="C1367" s="34">
        <v>45947</v>
      </c>
      <c r="D1367" s="37"/>
      <c r="E1367" s="35" t="s">
        <v>39</v>
      </c>
      <c r="F1367" s="36" t="s">
        <v>37</v>
      </c>
    </row>
    <row r="1368" spans="1:6" ht="15" thickBot="1" x14ac:dyDescent="0.35">
      <c r="A1368" s="37"/>
      <c r="B1368" s="33" t="s">
        <v>35</v>
      </c>
      <c r="C1368" s="38">
        <f>IF(C1367="","",IF(AND(MONTH(C1367)&gt;=1,MONTH(C1367)&lt;=3),1,IF(AND(MONTH(C1367)&gt;=4,MONTH(C1367)&lt;=6),2,IF(AND(MONTH(C1367)&gt;=7,MONTH(C1367)&lt;=9),3,4))))</f>
        <v>4</v>
      </c>
      <c r="D1368" s="37"/>
      <c r="E1368" s="35" t="s">
        <v>40</v>
      </c>
      <c r="F1368" s="36"/>
    </row>
    <row r="1369" spans="1:6" ht="15" thickBot="1" x14ac:dyDescent="0.35">
      <c r="A1369" s="30"/>
      <c r="B1369" s="30"/>
      <c r="C1369" s="30"/>
      <c r="D1369" s="30"/>
      <c r="E1369" s="30"/>
      <c r="F1369" s="30"/>
    </row>
    <row r="1370" spans="1:6" ht="15" thickBot="1" x14ac:dyDescent="0.35">
      <c r="A1370" s="39" t="s">
        <v>41</v>
      </c>
      <c r="B1370" s="39" t="s">
        <v>42</v>
      </c>
      <c r="C1370" s="39" t="s">
        <v>43</v>
      </c>
      <c r="D1370" s="39" t="s">
        <v>44</v>
      </c>
      <c r="E1370" s="39" t="s">
        <v>45</v>
      </c>
      <c r="F1370" s="39" t="s">
        <v>46</v>
      </c>
    </row>
    <row r="1371" spans="1:6" x14ac:dyDescent="0.3">
      <c r="A1371" s="40" t="s">
        <v>55</v>
      </c>
      <c r="B1371" s="41" t="str">
        <f ca="1">IFERROR(INDEX(UNSPSCDes,MATCH(INDIRECT(ADDRESS(ROW(),COLUMN()-1,4)),UNSPSCCode,0)),IF(INDIRECT(ADDRESS(ROW(),COLUMN()-1,4))="50111510","Carne de ave o carne fresca",""))</f>
        <v>Carne de ave o carne fresca</v>
      </c>
      <c r="C1371" s="42" t="str">
        <f>IFERROR(VLOOKUP("LB",'[1]Informacion '!P:Q,2,FALSE),"")</f>
        <v>Libra </v>
      </c>
      <c r="D1371" s="40">
        <v>810</v>
      </c>
      <c r="E1371" s="43">
        <v>100</v>
      </c>
      <c r="F1371" s="44">
        <f ca="1">INDIRECT(ADDRESS(ROW(),COLUMN()-2,4))*INDIRECT(ADDRESS(ROW(),COLUMN()-1,4))</f>
        <v>81000</v>
      </c>
    </row>
    <row r="1372" spans="1:6" x14ac:dyDescent="0.3">
      <c r="A1372" s="40" t="s">
        <v>55</v>
      </c>
      <c r="B1372" s="41" t="str">
        <f ca="1">IFERROR(INDEX(UNSPSCDes,MATCH(INDIRECT(ADDRESS(ROW(),COLUMN()-1,4)),UNSPSCCode,0)),IF(INDIRECT(ADDRESS(ROW(),COLUMN()-1,4))="50111510","Carne de ave o carne fresca",""))</f>
        <v>Carne de ave o carne fresca</v>
      </c>
      <c r="C1372" s="42" t="str">
        <f>IFERROR(VLOOKUP("LB",'[1]Informacion '!P:Q,2,FALSE),"")</f>
        <v>Libra </v>
      </c>
      <c r="D1372" s="40">
        <v>650</v>
      </c>
      <c r="E1372" s="43">
        <v>150</v>
      </c>
      <c r="F1372" s="44">
        <f ca="1">INDIRECT(ADDRESS(ROW(),COLUMN()-2,4))*INDIRECT(ADDRESS(ROW(),COLUMN()-1,4))</f>
        <v>97500</v>
      </c>
    </row>
    <row r="1373" spans="1:6" ht="20.399999999999999" x14ac:dyDescent="0.3">
      <c r="A1373" s="40" t="s">
        <v>56</v>
      </c>
      <c r="B1373" s="41" t="str">
        <f ca="1">IFERROR(INDEX(UNSPSCDes,MATCH(INDIRECT(ADDRESS(ROW(),COLUMN()-1,4)),UNSPSCCode,0)),IF(INDIRECT(ADDRESS(ROW(),COLUMN()-1,4))="50112002","Carnes procesadas y preparadas congelado",""))</f>
        <v>Carnes procesadas y preparadas congelado</v>
      </c>
      <c r="C1373" s="42" t="str">
        <f>IFERROR(VLOOKUP("LB",'[1]Informacion '!P:Q,2,FALSE),"")</f>
        <v>Libra </v>
      </c>
      <c r="D1373" s="40">
        <v>550</v>
      </c>
      <c r="E1373" s="43">
        <v>150</v>
      </c>
      <c r="F1373" s="44">
        <f ca="1">INDIRECT(ADDRESS(ROW(),COLUMN()-2,4))*INDIRECT(ADDRESS(ROW(),COLUMN()-1,4))</f>
        <v>82500</v>
      </c>
    </row>
    <row r="1374" spans="1:6" ht="20.399999999999999" x14ac:dyDescent="0.3">
      <c r="A1374" s="40" t="s">
        <v>56</v>
      </c>
      <c r="B1374" s="41" t="str">
        <f ca="1">IFERROR(INDEX(UNSPSCDes,MATCH(INDIRECT(ADDRESS(ROW(),COLUMN()-1,4)),UNSPSCCode,0)),IF(INDIRECT(ADDRESS(ROW(),COLUMN()-1,4))="50112002","Carnes procesadas y preparadas congelado",""))</f>
        <v>Carnes procesadas y preparadas congelado</v>
      </c>
      <c r="C1374" s="42" t="str">
        <f>IFERROR(VLOOKUP("LB",'[1]Informacion '!P:Q,2,FALSE),"")</f>
        <v>Libra </v>
      </c>
      <c r="D1374" s="40">
        <v>300</v>
      </c>
      <c r="E1374" s="43">
        <v>130</v>
      </c>
      <c r="F1374" s="44">
        <f ca="1">INDIRECT(ADDRESS(ROW(),COLUMN()-2,4))*INDIRECT(ADDRESS(ROW(),COLUMN()-1,4))</f>
        <v>39000</v>
      </c>
    </row>
    <row r="1375" spans="1:6" x14ac:dyDescent="0.3">
      <c r="A1375" s="40" t="s">
        <v>55</v>
      </c>
      <c r="B1375" s="41" t="str">
        <f ca="1">IFERROR(INDEX(UNSPSCDes,MATCH(INDIRECT(ADDRESS(ROW(),COLUMN()-1,4)),UNSPSCCode,0)),IF(INDIRECT(ADDRESS(ROW(),COLUMN()-1,4))="50111510","Carne de ave o carne fresca",""))</f>
        <v>Carne de ave o carne fresca</v>
      </c>
      <c r="C1375" s="42" t="str">
        <f>IFERROR(VLOOKUP("LB",'[1]Informacion '!P:Q,2,FALSE),"")</f>
        <v>Libra </v>
      </c>
      <c r="D1375" s="40">
        <v>255</v>
      </c>
      <c r="E1375" s="43">
        <v>100</v>
      </c>
      <c r="F1375" s="44">
        <f ca="1">INDIRECT(ADDRESS(ROW(),COLUMN()-2,4))*INDIRECT(ADDRESS(ROW(),COLUMN()-1,4))</f>
        <v>25500</v>
      </c>
    </row>
    <row r="1376" spans="1:6" x14ac:dyDescent="0.3">
      <c r="A1376" s="30"/>
      <c r="B1376" s="30"/>
      <c r="C1376" s="30"/>
      <c r="D1376" s="30"/>
      <c r="E1376" s="45" t="s">
        <v>52</v>
      </c>
      <c r="F1376" s="46">
        <f ca="1">SUM(Table65[MONTO TOTAL ESTIMADO])</f>
        <v>325500</v>
      </c>
    </row>
    <row r="1377" spans="1:6" ht="15" thickBot="1" x14ac:dyDescent="0.35">
      <c r="A1377" s="30"/>
      <c r="B1377" s="30"/>
      <c r="C1377" s="30"/>
      <c r="D1377" s="30"/>
      <c r="E1377" s="30"/>
      <c r="F1377" s="30"/>
    </row>
    <row r="1378" spans="1:6" ht="21" thickBot="1" x14ac:dyDescent="0.35">
      <c r="A1378" s="31" t="s">
        <v>19</v>
      </c>
      <c r="B1378" s="31" t="s">
        <v>20</v>
      </c>
      <c r="C1378" s="31" t="s">
        <v>21</v>
      </c>
      <c r="D1378" s="31" t="s">
        <v>22</v>
      </c>
      <c r="E1378" s="31" t="s">
        <v>23</v>
      </c>
      <c r="F1378" s="31" t="s">
        <v>24</v>
      </c>
    </row>
    <row r="1379" spans="1:6" ht="21" thickBot="1" x14ac:dyDescent="0.35">
      <c r="A1379" s="12" t="s">
        <v>324</v>
      </c>
      <c r="B1379" s="12" t="s">
        <v>324</v>
      </c>
      <c r="C1379" s="12" t="s">
        <v>27</v>
      </c>
      <c r="D1379" s="12" t="s">
        <v>28</v>
      </c>
      <c r="E1379" s="12" t="s">
        <v>59</v>
      </c>
      <c r="F1379" s="12"/>
    </row>
    <row r="1380" spans="1:6" ht="15" thickBot="1" x14ac:dyDescent="0.35">
      <c r="A1380" s="32" t="s">
        <v>30</v>
      </c>
      <c r="B1380" s="33" t="s">
        <v>31</v>
      </c>
      <c r="C1380" s="34">
        <v>45950</v>
      </c>
      <c r="D1380" s="32" t="s">
        <v>32</v>
      </c>
      <c r="E1380" s="35" t="s">
        <v>33</v>
      </c>
      <c r="F1380" s="36" t="s">
        <v>34</v>
      </c>
    </row>
    <row r="1381" spans="1:6" ht="15" thickBot="1" x14ac:dyDescent="0.35">
      <c r="A1381" s="37"/>
      <c r="B1381" s="33" t="s">
        <v>35</v>
      </c>
      <c r="C1381" s="38">
        <f>IF(C1380="","",IF(AND(MONTH(C1380)&gt;=1,MONTH(C1380)&lt;=3),1,IF(AND(MONTH(C1380)&gt;=4,MONTH(C1380)&lt;=6),2,IF(AND(MONTH(C1380)&gt;=7,MONTH(C1380)&lt;=9),3,4))))</f>
        <v>4</v>
      </c>
      <c r="D1381" s="37"/>
      <c r="E1381" s="35" t="s">
        <v>36</v>
      </c>
      <c r="F1381" s="36" t="s">
        <v>37</v>
      </c>
    </row>
    <row r="1382" spans="1:6" ht="15" thickBot="1" x14ac:dyDescent="0.35">
      <c r="A1382" s="37"/>
      <c r="B1382" s="33" t="s">
        <v>38</v>
      </c>
      <c r="C1382" s="34">
        <v>45954</v>
      </c>
      <c r="D1382" s="37"/>
      <c r="E1382" s="35" t="s">
        <v>39</v>
      </c>
      <c r="F1382" s="36" t="s">
        <v>37</v>
      </c>
    </row>
    <row r="1383" spans="1:6" ht="15" thickBot="1" x14ac:dyDescent="0.35">
      <c r="A1383" s="37"/>
      <c r="B1383" s="33" t="s">
        <v>35</v>
      </c>
      <c r="C1383" s="38">
        <f>IF(C1382="","",IF(AND(MONTH(C1382)&gt;=1,MONTH(C1382)&lt;=3),1,IF(AND(MONTH(C1382)&gt;=4,MONTH(C1382)&lt;=6),2,IF(AND(MONTH(C1382)&gt;=7,MONTH(C1382)&lt;=9),3,4))))</f>
        <v>4</v>
      </c>
      <c r="D1383" s="37"/>
      <c r="E1383" s="35" t="s">
        <v>40</v>
      </c>
      <c r="F1383" s="36"/>
    </row>
    <row r="1384" spans="1:6" ht="15" thickBot="1" x14ac:dyDescent="0.35">
      <c r="A1384" s="30"/>
      <c r="B1384" s="30"/>
      <c r="C1384" s="30"/>
      <c r="D1384" s="30"/>
      <c r="E1384" s="30"/>
      <c r="F1384" s="30"/>
    </row>
    <row r="1385" spans="1:6" ht="15" thickBot="1" x14ac:dyDescent="0.35">
      <c r="A1385" s="39" t="s">
        <v>41</v>
      </c>
      <c r="B1385" s="39" t="s">
        <v>42</v>
      </c>
      <c r="C1385" s="39" t="s">
        <v>43</v>
      </c>
      <c r="D1385" s="39" t="s">
        <v>44</v>
      </c>
      <c r="E1385" s="39" t="s">
        <v>45</v>
      </c>
      <c r="F1385" s="39" t="s">
        <v>46</v>
      </c>
    </row>
    <row r="1386" spans="1:6" ht="20.399999999999999" x14ac:dyDescent="0.3">
      <c r="A1386" s="40" t="s">
        <v>60</v>
      </c>
      <c r="B1386" s="41" t="str">
        <f ca="1">IFERROR(INDEX(UNSPSCDes,MATCH(INDIRECT(ADDRESS(ROW(),COLUMN()-1,4)),UNSPSCCode,0)),IF(INDIRECT(ADDRESS(ROW(),COLUMN()-1,4))="50151513","Aceites vegetales o  de planta comestibles",""))</f>
        <v>Aceites vegetales o  de planta comestibles</v>
      </c>
      <c r="C1386" s="42" t="str">
        <f>IFERROR(VLOOKUP("GAL",'[1]Informacion '!P:Q,2,FALSE),"")</f>
        <v>Galón</v>
      </c>
      <c r="D1386" s="40">
        <v>19</v>
      </c>
      <c r="E1386" s="43">
        <v>1500</v>
      </c>
      <c r="F1386" s="44">
        <f t="shared" ref="F1386:F1410" ca="1" si="44">INDIRECT(ADDRESS(ROW(),COLUMN()-2,4))*INDIRECT(ADDRESS(ROW(),COLUMN()-1,4))</f>
        <v>28500</v>
      </c>
    </row>
    <row r="1387" spans="1:6" ht="20.399999999999999" x14ac:dyDescent="0.3">
      <c r="A1387" s="40" t="s">
        <v>60</v>
      </c>
      <c r="B1387" s="41" t="str">
        <f ca="1">IFERROR(INDEX(UNSPSCDes,MATCH(INDIRECT(ADDRESS(ROW(),COLUMN()-1,4)),UNSPSCCode,0)),IF(INDIRECT(ADDRESS(ROW(),COLUMN()-1,4))="50151513","Aceites vegetales o  de planta comestibles",""))</f>
        <v>Aceites vegetales o  de planta comestibles</v>
      </c>
      <c r="C1387" s="42" t="str">
        <f>IFERROR(VLOOKUP("GAL",'[1]Informacion '!P:Q,2,FALSE),"")</f>
        <v>Galón</v>
      </c>
      <c r="D1387" s="40">
        <v>2</v>
      </c>
      <c r="E1387" s="43">
        <v>900</v>
      </c>
      <c r="F1387" s="44">
        <f t="shared" ca="1" si="44"/>
        <v>1800</v>
      </c>
    </row>
    <row r="1388" spans="1:6" x14ac:dyDescent="0.3">
      <c r="A1388" s="40" t="s">
        <v>64</v>
      </c>
      <c r="B1388" s="41" t="str">
        <f ca="1">IFERROR(INDEX(UNSPSCDes,MATCH(INDIRECT(ADDRESS(ROW(),COLUMN()-1,4)),UNSPSCCode,0)),IF(INDIRECT(ADDRESS(ROW(),COLUMN()-1,4))="50221001","Granos",""))</f>
        <v>Granos</v>
      </c>
      <c r="C1388" s="42" t="str">
        <f>IFERROR(VLOOKUP("UD",'[1]Informacion '!P:Q,2,FALSE),"")</f>
        <v>Unidad</v>
      </c>
      <c r="D1388" s="40">
        <v>30</v>
      </c>
      <c r="E1388" s="43">
        <v>5000</v>
      </c>
      <c r="F1388" s="44">
        <f t="shared" ca="1" si="44"/>
        <v>150000</v>
      </c>
    </row>
    <row r="1389" spans="1:6" x14ac:dyDescent="0.3">
      <c r="A1389" s="40" t="s">
        <v>64</v>
      </c>
      <c r="B1389" s="41" t="str">
        <f ca="1">IFERROR(INDEX(UNSPSCDes,MATCH(INDIRECT(ADDRESS(ROW(),COLUMN()-1,4)),UNSPSCCode,0)),IF(INDIRECT(ADDRESS(ROW(),COLUMN()-1,4))="50221001","Granos",""))</f>
        <v>Granos</v>
      </c>
      <c r="C1389" s="42" t="str">
        <f>IFERROR(VLOOKUP("LB",'[1]Informacion '!P:Q,2,FALSE),"")</f>
        <v>Libra </v>
      </c>
      <c r="D1389" s="40">
        <v>198</v>
      </c>
      <c r="E1389" s="43">
        <v>60</v>
      </c>
      <c r="F1389" s="44">
        <f t="shared" ca="1" si="44"/>
        <v>11880</v>
      </c>
    </row>
    <row r="1390" spans="1:6" x14ac:dyDescent="0.3">
      <c r="A1390" s="40" t="s">
        <v>64</v>
      </c>
      <c r="B1390" s="41" t="str">
        <f ca="1">IFERROR(INDEX(UNSPSCDes,MATCH(INDIRECT(ADDRESS(ROW(),COLUMN()-1,4)),UNSPSCCode,0)),IF(INDIRECT(ADDRESS(ROW(),COLUMN()-1,4))="50221001","Granos",""))</f>
        <v>Granos</v>
      </c>
      <c r="C1390" s="42" t="str">
        <f>IFERROR(VLOOKUP("LB",'[1]Informacion '!P:Q,2,FALSE),"")</f>
        <v>Libra </v>
      </c>
      <c r="D1390" s="40">
        <v>84</v>
      </c>
      <c r="E1390" s="43">
        <v>55</v>
      </c>
      <c r="F1390" s="44">
        <f t="shared" ca="1" si="44"/>
        <v>4620</v>
      </c>
    </row>
    <row r="1391" spans="1:6" ht="20.399999999999999" x14ac:dyDescent="0.3">
      <c r="A1391" s="40" t="s">
        <v>62</v>
      </c>
      <c r="B1391" s="41" t="str">
        <f ca="1">IFERROR(INDEX(UNSPSCDes,MATCH(INDIRECT(ADDRESS(ROW(),COLUMN()-1,4)),UNSPSCCode,0)),IF(INDIRECT(ADDRESS(ROW(),COLUMN()-1,4))="50161509","Azucares naturales o productos endulzantes",""))</f>
        <v>Azucares naturales o productos endulzantes</v>
      </c>
      <c r="C1391" s="42" t="str">
        <f>IFERROR(VLOOKUP("UD",'[1]Informacion '!P:Q,2,FALSE),"")</f>
        <v>Unidad</v>
      </c>
      <c r="D1391" s="40">
        <v>3</v>
      </c>
      <c r="E1391" s="43">
        <v>5000</v>
      </c>
      <c r="F1391" s="44">
        <f t="shared" ca="1" si="44"/>
        <v>15000</v>
      </c>
    </row>
    <row r="1392" spans="1:6" x14ac:dyDescent="0.3">
      <c r="A1392" s="40" t="s">
        <v>63</v>
      </c>
      <c r="B1392" s="41" t="str">
        <f ca="1">IFERROR(INDEX(UNSPSCDes,MATCH(INDIRECT(ADDRESS(ROW(),COLUMN()-1,4)),UNSPSCCode,0)),IF(INDIRECT(ADDRESS(ROW(),COLUMN()-1,4))="50192902","Pasta o fideos de repisa",""))</f>
        <v>Pasta o fideos de repisa</v>
      </c>
      <c r="C1392" s="42" t="str">
        <f>IFERROR(VLOOKUP("UD",'[1]Informacion '!P:Q,2,FALSE),"")</f>
        <v>Unidad</v>
      </c>
      <c r="D1392" s="40">
        <v>3</v>
      </c>
      <c r="E1392" s="43">
        <v>500</v>
      </c>
      <c r="F1392" s="44">
        <f t="shared" ca="1" si="44"/>
        <v>1500</v>
      </c>
    </row>
    <row r="1393" spans="1:6" x14ac:dyDescent="0.3">
      <c r="A1393" s="40" t="s">
        <v>63</v>
      </c>
      <c r="B1393" s="41" t="str">
        <f ca="1">IFERROR(INDEX(UNSPSCDes,MATCH(INDIRECT(ADDRESS(ROW(),COLUMN()-1,4)),UNSPSCCode,0)),IF(INDIRECT(ADDRESS(ROW(),COLUMN()-1,4))="50192902","Pasta o fideos de repisa",""))</f>
        <v>Pasta o fideos de repisa</v>
      </c>
      <c r="C1393" s="42" t="str">
        <f>IFERROR(VLOOKUP("UD",'[1]Informacion '!P:Q,2,FALSE),"")</f>
        <v>Unidad</v>
      </c>
      <c r="D1393" s="40">
        <v>12</v>
      </c>
      <c r="E1393" s="43">
        <v>460</v>
      </c>
      <c r="F1393" s="44">
        <f t="shared" ca="1" si="44"/>
        <v>5520</v>
      </c>
    </row>
    <row r="1394" spans="1:6" x14ac:dyDescent="0.3">
      <c r="A1394" s="40" t="s">
        <v>61</v>
      </c>
      <c r="B1394" s="41" t="str">
        <f ca="1">IFERROR(INDEX(UNSPSCDes,MATCH(INDIRECT(ADDRESS(ROW(),COLUMN()-1,4)),UNSPSCCode,0)),IF(INDIRECT(ADDRESS(ROW(),COLUMN()-1,4))="50171552","Mezcla para adobar",""))</f>
        <v>Mezcla para adobar</v>
      </c>
      <c r="C1394" s="42" t="str">
        <f>IFERROR(VLOOKUP("CAJ",'[1]Informacion '!P:Q,2,FALSE),"")</f>
        <v>Caja</v>
      </c>
      <c r="D1394" s="40">
        <v>3</v>
      </c>
      <c r="E1394" s="43">
        <v>2300</v>
      </c>
      <c r="F1394" s="44">
        <f t="shared" ca="1" si="44"/>
        <v>6900</v>
      </c>
    </row>
    <row r="1395" spans="1:6" x14ac:dyDescent="0.3">
      <c r="A1395" s="40" t="s">
        <v>66</v>
      </c>
      <c r="B1395" s="41" t="str">
        <f ca="1">IFERROR(INDEX(UNSPSCDes,MATCH(INDIRECT(ADDRESS(ROW(),COLUMN()-1,4)),UNSPSCCode,0)),IF(INDIRECT(ADDRESS(ROW(),COLUMN()-1,4))="50171831","Salsas para cocinar",""))</f>
        <v>Salsas para cocinar</v>
      </c>
      <c r="C1395" s="42" t="str">
        <f>IFERROR(VLOOKUP("UD",'[1]Informacion '!P:Q,2,FALSE),"")</f>
        <v>Unidad</v>
      </c>
      <c r="D1395" s="40">
        <v>18</v>
      </c>
      <c r="E1395" s="43">
        <v>550</v>
      </c>
      <c r="F1395" s="44">
        <f t="shared" ca="1" si="44"/>
        <v>9900</v>
      </c>
    </row>
    <row r="1396" spans="1:6" x14ac:dyDescent="0.3">
      <c r="A1396" s="40" t="s">
        <v>65</v>
      </c>
      <c r="B1396" s="41" t="str">
        <f ca="1">IFERROR(INDEX(UNSPSCDes,MATCH(INDIRECT(ADDRESS(ROW(),COLUMN()-1,4)),UNSPSCCode,0)),IF(INDIRECT(ADDRESS(ROW(),COLUMN()-1,4))="50171832","Salsas para ensaladas o dips",""))</f>
        <v>Salsas para ensaladas o dips</v>
      </c>
      <c r="C1396" s="42" t="str">
        <f>IFERROR(VLOOKUP("GAL",'[1]Informacion '!P:Q,2,FALSE),"")</f>
        <v>Galón</v>
      </c>
      <c r="D1396" s="40">
        <v>3</v>
      </c>
      <c r="E1396" s="43">
        <v>750</v>
      </c>
      <c r="F1396" s="44">
        <f t="shared" ca="1" si="44"/>
        <v>2250</v>
      </c>
    </row>
    <row r="1397" spans="1:6" x14ac:dyDescent="0.3">
      <c r="A1397" s="40" t="s">
        <v>68</v>
      </c>
      <c r="B1397" s="41" t="str">
        <f ca="1">IFERROR(INDEX(UNSPSCDes,MATCH(INDIRECT(ADDRESS(ROW(),COLUMN()-1,4)),UNSPSCCode,0)),IF(INDIRECT(ADDRESS(ROW(),COLUMN()-1,4))="50171551","Sal de mesa",""))</f>
        <v>Sal de mesa</v>
      </c>
      <c r="C1397" s="42" t="str">
        <f>IFERROR(VLOOKUP("UD",'[1]Informacion '!P:Q,2,FALSE),"")</f>
        <v>Unidad</v>
      </c>
      <c r="D1397" s="40">
        <v>2</v>
      </c>
      <c r="E1397" s="43">
        <v>1200</v>
      </c>
      <c r="F1397" s="44">
        <f t="shared" ca="1" si="44"/>
        <v>2400</v>
      </c>
    </row>
    <row r="1398" spans="1:6" x14ac:dyDescent="0.3">
      <c r="A1398" s="40" t="s">
        <v>69</v>
      </c>
      <c r="B1398" s="41" t="str">
        <f ca="1">IFERROR(INDEX(UNSPSCDes,MATCH(INDIRECT(ADDRESS(ROW(),COLUMN()-1,4)),UNSPSCCode,0)),IF(INDIRECT(ADDRESS(ROW(),COLUMN()-1,4))="50171707","Vinagres",""))</f>
        <v>Vinagres</v>
      </c>
      <c r="C1398" s="42" t="str">
        <f>IFERROR(VLOOKUP("GAL",'[1]Informacion '!P:Q,2,FALSE),"")</f>
        <v>Galón</v>
      </c>
      <c r="D1398" s="40">
        <v>22</v>
      </c>
      <c r="E1398" s="43">
        <v>200</v>
      </c>
      <c r="F1398" s="44">
        <f t="shared" ca="1" si="44"/>
        <v>4400</v>
      </c>
    </row>
    <row r="1399" spans="1:6" ht="20.399999999999999" x14ac:dyDescent="0.3">
      <c r="A1399" s="40" t="s">
        <v>70</v>
      </c>
      <c r="B1399" s="41" t="str">
        <f ca="1">IFERROR(INDEX(UNSPSCDes,MATCH(INDIRECT(ADDRESS(ROW(),COLUMN()-1,4)),UNSPSCCode,0)),IF(INDIRECT(ADDRESS(ROW(),COLUMN()-1,4))="50131702","Productos de leche o mantequilla de estante",""))</f>
        <v>Productos de leche o mantequilla de estante</v>
      </c>
      <c r="C1399" s="42" t="str">
        <f>IFERROR(VLOOKUP("UD",'[1]Informacion '!P:Q,2,FALSE),"")</f>
        <v>Unidad</v>
      </c>
      <c r="D1399" s="40">
        <v>3</v>
      </c>
      <c r="E1399" s="43">
        <v>400</v>
      </c>
      <c r="F1399" s="44">
        <f t="shared" ca="1" si="44"/>
        <v>1200</v>
      </c>
    </row>
    <row r="1400" spans="1:6" x14ac:dyDescent="0.3">
      <c r="A1400" s="40" t="s">
        <v>306</v>
      </c>
      <c r="B1400" s="41" t="str">
        <f ca="1">IFERROR(INDEX(UNSPSCDes,MATCH(INDIRECT(ADDRESS(ROW(),COLUMN()-1,4)),UNSPSCCode,0)),IF(INDIRECT(ADDRESS(ROW(),COLUMN()-1,4))="50121538","Pescado almacenado en repisa",""))</f>
        <v>Pescado almacenado en repisa</v>
      </c>
      <c r="C1400" s="42" t="str">
        <f>IFERROR(VLOOKUP("UD",'[1]Informacion '!P:Q,2,FALSE),"")</f>
        <v>Unidad</v>
      </c>
      <c r="D1400" s="40">
        <v>30</v>
      </c>
      <c r="E1400" s="43">
        <v>50</v>
      </c>
      <c r="F1400" s="44">
        <f t="shared" ca="1" si="44"/>
        <v>1500</v>
      </c>
    </row>
    <row r="1401" spans="1:6" ht="20.399999999999999" x14ac:dyDescent="0.3">
      <c r="A1401" s="40" t="s">
        <v>70</v>
      </c>
      <c r="B1401" s="41" t="str">
        <f ca="1">IFERROR(INDEX(UNSPSCDes,MATCH(INDIRECT(ADDRESS(ROW(),COLUMN()-1,4)),UNSPSCCode,0)),IF(INDIRECT(ADDRESS(ROW(),COLUMN()-1,4))="50131702","Productos de leche o mantequilla de estante",""))</f>
        <v>Productos de leche o mantequilla de estante</v>
      </c>
      <c r="C1401" s="42" t="str">
        <f>IFERROR(VLOOKUP("UD",'[1]Informacion '!P:Q,2,FALSE),"")</f>
        <v>Unidad</v>
      </c>
      <c r="D1401" s="40">
        <v>300</v>
      </c>
      <c r="E1401" s="43">
        <v>25</v>
      </c>
      <c r="F1401" s="44">
        <f t="shared" ca="1" si="44"/>
        <v>7500</v>
      </c>
    </row>
    <row r="1402" spans="1:6" ht="20.399999999999999" x14ac:dyDescent="0.3">
      <c r="A1402" s="40" t="s">
        <v>70</v>
      </c>
      <c r="B1402" s="41" t="str">
        <f ca="1">IFERROR(INDEX(UNSPSCDes,MATCH(INDIRECT(ADDRESS(ROW(),COLUMN()-1,4)),UNSPSCCode,0)),IF(INDIRECT(ADDRESS(ROW(),COLUMN()-1,4))="50131702","Productos de leche o mantequilla de estante",""))</f>
        <v>Productos de leche o mantequilla de estante</v>
      </c>
      <c r="C1402" s="42" t="str">
        <f>IFERROR(VLOOKUP("UD",'[1]Informacion '!P:Q,2,FALSE),"")</f>
        <v>Unidad</v>
      </c>
      <c r="D1402" s="40">
        <v>6</v>
      </c>
      <c r="E1402" s="43">
        <v>1250</v>
      </c>
      <c r="F1402" s="44">
        <f t="shared" ca="1" si="44"/>
        <v>7500</v>
      </c>
    </row>
    <row r="1403" spans="1:6" x14ac:dyDescent="0.3">
      <c r="A1403" s="40" t="s">
        <v>305</v>
      </c>
      <c r="B1403" s="41" t="str">
        <f ca="1">IFERROR(INDEX(UNSPSCDes,MATCH(INDIRECT(ADDRESS(ROW(),COLUMN()-1,4)),UNSPSCCode,0)),IF(INDIRECT(ADDRESS(ROW(),COLUMN()-1,4))="50201706","Café",""))</f>
        <v>Café</v>
      </c>
      <c r="C1403" s="42" t="str">
        <f>IFERROR(VLOOKUP("UD",'[1]Informacion '!P:Q,2,FALSE),"")</f>
        <v>Unidad</v>
      </c>
      <c r="D1403" s="40">
        <v>3</v>
      </c>
      <c r="E1403" s="43">
        <v>9000</v>
      </c>
      <c r="F1403" s="44">
        <f t="shared" ca="1" si="44"/>
        <v>27000</v>
      </c>
    </row>
    <row r="1404" spans="1:6" x14ac:dyDescent="0.3">
      <c r="A1404" s="40" t="s">
        <v>305</v>
      </c>
      <c r="B1404" s="41" t="str">
        <f ca="1">IFERROR(INDEX(UNSPSCDes,MATCH(INDIRECT(ADDRESS(ROW(),COLUMN()-1,4)),UNSPSCCode,0)),IF(INDIRECT(ADDRESS(ROW(),COLUMN()-1,4))="50201706","Café",""))</f>
        <v>Café</v>
      </c>
      <c r="C1404" s="42" t="str">
        <f>IFERROR(VLOOKUP("UD",'[1]Informacion '!P:Q,2,FALSE),"")</f>
        <v>Unidad</v>
      </c>
      <c r="D1404" s="40">
        <v>6</v>
      </c>
      <c r="E1404" s="43">
        <v>6000</v>
      </c>
      <c r="F1404" s="44">
        <f t="shared" ca="1" si="44"/>
        <v>36000</v>
      </c>
    </row>
    <row r="1405" spans="1:6" x14ac:dyDescent="0.3">
      <c r="A1405" s="40" t="s">
        <v>305</v>
      </c>
      <c r="B1405" s="41" t="str">
        <f ca="1">IFERROR(INDEX(UNSPSCDes,MATCH(INDIRECT(ADDRESS(ROW(),COLUMN()-1,4)),UNSPSCCode,0)),IF(INDIRECT(ADDRESS(ROW(),COLUMN()-1,4))="50201706","Café",""))</f>
        <v>Café</v>
      </c>
      <c r="C1405" s="42" t="str">
        <f>IFERROR(VLOOKUP("UD",'[1]Informacion '!P:Q,2,FALSE),"")</f>
        <v>Unidad</v>
      </c>
      <c r="D1405" s="40">
        <v>6</v>
      </c>
      <c r="E1405" s="43">
        <v>850</v>
      </c>
      <c r="F1405" s="44">
        <f t="shared" ca="1" si="44"/>
        <v>5100</v>
      </c>
    </row>
    <row r="1406" spans="1:6" x14ac:dyDescent="0.3">
      <c r="A1406" s="40" t="s">
        <v>76</v>
      </c>
      <c r="B1406" s="41" t="str">
        <f ca="1">IFERROR(INDEX(UNSPSCDes,MATCH(INDIRECT(ADDRESS(ROW(),COLUMN()-1,4)),UNSPSCCode,0)),IF(INDIRECT(ADDRESS(ROW(),COLUMN()-1,4))="50221101","Grano de cereal",""))</f>
        <v>Grano de cereal</v>
      </c>
      <c r="C1406" s="42" t="str">
        <f>IFERROR(VLOOKUP("UD",'[1]Informacion '!P:Q,2,FALSE),"")</f>
        <v>Unidad</v>
      </c>
      <c r="D1406" s="40">
        <v>60</v>
      </c>
      <c r="E1406" s="43">
        <v>250</v>
      </c>
      <c r="F1406" s="44">
        <f t="shared" ca="1" si="44"/>
        <v>15000</v>
      </c>
    </row>
    <row r="1407" spans="1:6" x14ac:dyDescent="0.3">
      <c r="A1407" s="40" t="s">
        <v>77</v>
      </c>
      <c r="B1407" s="41" t="str">
        <f ca="1">IFERROR(INDEX(UNSPSCDes,MATCH(INDIRECT(ADDRESS(ROW(),COLUMN()-1,4)),UNSPSCCode,0)),IF(INDIRECT(ADDRESS(ROW(),COLUMN()-1,4))="50192110","Nueces o fruta disecada",""))</f>
        <v>Nueces o fruta disecada</v>
      </c>
      <c r="C1407" s="42" t="str">
        <f>IFERROR(VLOOKUP("UD",'[1]Informacion '!P:Q,2,FALSE),"")</f>
        <v>Unidad</v>
      </c>
      <c r="D1407" s="40">
        <v>3</v>
      </c>
      <c r="E1407" s="43">
        <v>200</v>
      </c>
      <c r="F1407" s="44">
        <f t="shared" ca="1" si="44"/>
        <v>600</v>
      </c>
    </row>
    <row r="1408" spans="1:6" x14ac:dyDescent="0.3">
      <c r="A1408" s="40" t="s">
        <v>76</v>
      </c>
      <c r="B1408" s="41" t="str">
        <f ca="1">IFERROR(INDEX(UNSPSCDes,MATCH(INDIRECT(ADDRESS(ROW(),COLUMN()-1,4)),UNSPSCCode,0)),IF(INDIRECT(ADDRESS(ROW(),COLUMN()-1,4))="50221101","Grano de cereal",""))</f>
        <v>Grano de cereal</v>
      </c>
      <c r="C1408" s="42" t="str">
        <f>IFERROR(VLOOKUP("UD",'[1]Informacion '!P:Q,2,FALSE),"")</f>
        <v>Unidad</v>
      </c>
      <c r="D1408" s="40">
        <v>3</v>
      </c>
      <c r="E1408" s="43">
        <v>750</v>
      </c>
      <c r="F1408" s="44">
        <f t="shared" ca="1" si="44"/>
        <v>2250</v>
      </c>
    </row>
    <row r="1409" spans="1:6" x14ac:dyDescent="0.3">
      <c r="A1409" s="40" t="s">
        <v>71</v>
      </c>
      <c r="B1409" s="41" t="str">
        <f ca="1">IFERROR(INDEX(UNSPSCDes,MATCH(INDIRECT(ADDRESS(ROW(),COLUMN()-1,4)),UNSPSCCode,0)),IF(INDIRECT(ADDRESS(ROW(),COLUMN()-1,4))="50171550","Especies o extractos",""))</f>
        <v>Especies o extractos</v>
      </c>
      <c r="C1409" s="42" t="str">
        <f>IFERROR(VLOOKUP("LB",'[1]Informacion '!P:Q,2,FALSE),"")</f>
        <v>Libra </v>
      </c>
      <c r="D1409" s="40">
        <v>3</v>
      </c>
      <c r="E1409" s="43">
        <v>480</v>
      </c>
      <c r="F1409" s="44">
        <f t="shared" ca="1" si="44"/>
        <v>1440</v>
      </c>
    </row>
    <row r="1410" spans="1:6" x14ac:dyDescent="0.3">
      <c r="A1410" s="40" t="s">
        <v>78</v>
      </c>
      <c r="B1410" s="41" t="str">
        <f ca="1">IFERROR(INDEX(UNSPSCDes,MATCH(INDIRECT(ADDRESS(ROW(),COLUMN()-1,4)),UNSPSCCode,0)),IF(INDIRECT(ADDRESS(ROW(),COLUMN()-1,4))="50202304","Jugos de repisa",""))</f>
        <v>Jugos de repisa</v>
      </c>
      <c r="C1410" s="42" t="str">
        <f>IFERROR(VLOOKUP("L",'[1]Informacion '!P:Q,2,FALSE),"")</f>
        <v>Litro</v>
      </c>
      <c r="D1410" s="40">
        <v>54</v>
      </c>
      <c r="E1410" s="43">
        <v>75</v>
      </c>
      <c r="F1410" s="44">
        <f t="shared" ca="1" si="44"/>
        <v>4050</v>
      </c>
    </row>
    <row r="1411" spans="1:6" x14ac:dyDescent="0.3">
      <c r="A1411" s="30"/>
      <c r="B1411" s="30"/>
      <c r="C1411" s="30"/>
      <c r="D1411" s="30"/>
      <c r="E1411" s="45" t="s">
        <v>52</v>
      </c>
      <c r="F1411" s="46">
        <f ca="1">SUM(Table66[MONTO TOTAL ESTIMADO])</f>
        <v>353810</v>
      </c>
    </row>
    <row r="1412" spans="1:6" ht="15" thickBot="1" x14ac:dyDescent="0.35">
      <c r="A1412" s="30"/>
      <c r="B1412" s="30"/>
      <c r="C1412" s="30"/>
      <c r="D1412" s="30"/>
      <c r="E1412" s="30"/>
      <c r="F1412" s="30"/>
    </row>
    <row r="1413" spans="1:6" ht="21" thickBot="1" x14ac:dyDescent="0.35">
      <c r="A1413" s="31" t="s">
        <v>19</v>
      </c>
      <c r="B1413" s="31" t="s">
        <v>20</v>
      </c>
      <c r="C1413" s="31" t="s">
        <v>21</v>
      </c>
      <c r="D1413" s="31" t="s">
        <v>22</v>
      </c>
      <c r="E1413" s="31" t="s">
        <v>23</v>
      </c>
      <c r="F1413" s="31" t="s">
        <v>24</v>
      </c>
    </row>
    <row r="1414" spans="1:6" ht="21" thickBot="1" x14ac:dyDescent="0.35">
      <c r="A1414" s="12" t="s">
        <v>325</v>
      </c>
      <c r="B1414" s="12" t="s">
        <v>325</v>
      </c>
      <c r="C1414" s="12" t="s">
        <v>27</v>
      </c>
      <c r="D1414" s="12" t="s">
        <v>28</v>
      </c>
      <c r="E1414" s="12" t="s">
        <v>59</v>
      </c>
      <c r="F1414" s="12"/>
    </row>
    <row r="1415" spans="1:6" ht="15" thickBot="1" x14ac:dyDescent="0.35">
      <c r="A1415" s="32" t="s">
        <v>30</v>
      </c>
      <c r="B1415" s="33" t="s">
        <v>31</v>
      </c>
      <c r="C1415" s="34">
        <v>45943</v>
      </c>
      <c r="D1415" s="32" t="s">
        <v>32</v>
      </c>
      <c r="E1415" s="35" t="s">
        <v>33</v>
      </c>
      <c r="F1415" s="36" t="s">
        <v>34</v>
      </c>
    </row>
    <row r="1416" spans="1:6" ht="15" thickBot="1" x14ac:dyDescent="0.35">
      <c r="A1416" s="37"/>
      <c r="B1416" s="33" t="s">
        <v>35</v>
      </c>
      <c r="C1416" s="38">
        <f>IF(C1415="","",IF(AND(MONTH(C1415)&gt;=1,MONTH(C1415)&lt;=3),1,IF(AND(MONTH(C1415)&gt;=4,MONTH(C1415)&lt;=6),2,IF(AND(MONTH(C1415)&gt;=7,MONTH(C1415)&lt;=9),3,4))))</f>
        <v>4</v>
      </c>
      <c r="D1416" s="37"/>
      <c r="E1416" s="35" t="s">
        <v>36</v>
      </c>
      <c r="F1416" s="36" t="s">
        <v>37</v>
      </c>
    </row>
    <row r="1417" spans="1:6" ht="15" thickBot="1" x14ac:dyDescent="0.35">
      <c r="A1417" s="37"/>
      <c r="B1417" s="33" t="s">
        <v>38</v>
      </c>
      <c r="C1417" s="34">
        <v>45947</v>
      </c>
      <c r="D1417" s="37"/>
      <c r="E1417" s="35" t="s">
        <v>39</v>
      </c>
      <c r="F1417" s="36" t="s">
        <v>37</v>
      </c>
    </row>
    <row r="1418" spans="1:6" ht="15" thickBot="1" x14ac:dyDescent="0.35">
      <c r="A1418" s="37"/>
      <c r="B1418" s="33" t="s">
        <v>35</v>
      </c>
      <c r="C1418" s="38">
        <f>IF(C1417="","",IF(AND(MONTH(C1417)&gt;=1,MONTH(C1417)&lt;=3),1,IF(AND(MONTH(C1417)&gt;=4,MONTH(C1417)&lt;=6),2,IF(AND(MONTH(C1417)&gt;=7,MONTH(C1417)&lt;=9),3,4))))</f>
        <v>4</v>
      </c>
      <c r="D1418" s="37"/>
      <c r="E1418" s="35" t="s">
        <v>40</v>
      </c>
      <c r="F1418" s="36"/>
    </row>
    <row r="1419" spans="1:6" ht="15" thickBot="1" x14ac:dyDescent="0.35">
      <c r="A1419" s="30"/>
      <c r="B1419" s="30"/>
      <c r="C1419" s="30"/>
      <c r="D1419" s="30"/>
      <c r="E1419" s="30"/>
      <c r="F1419" s="30"/>
    </row>
    <row r="1420" spans="1:6" ht="15" thickBot="1" x14ac:dyDescent="0.35">
      <c r="A1420" s="39" t="s">
        <v>41</v>
      </c>
      <c r="B1420" s="39" t="s">
        <v>42</v>
      </c>
      <c r="C1420" s="39" t="s">
        <v>43</v>
      </c>
      <c r="D1420" s="39" t="s">
        <v>44</v>
      </c>
      <c r="E1420" s="39" t="s">
        <v>45</v>
      </c>
      <c r="F1420" s="39" t="s">
        <v>46</v>
      </c>
    </row>
    <row r="1421" spans="1:6" x14ac:dyDescent="0.3">
      <c r="A1421" s="40" t="s">
        <v>92</v>
      </c>
      <c r="B1421" s="41" t="str">
        <f ca="1">IFERROR(INDEX(UNSPSCDes,MATCH(INDIRECT(ADDRESS(ROW(),COLUMN()-1,4)),UNSPSCCode,0)),IF(INDIRECT(ADDRESS(ROW(),COLUMN()-1,4))="14111703","Toallas de papel",""))</f>
        <v>Toallas de papel</v>
      </c>
      <c r="C1421" s="42" t="str">
        <f>IFERROR(VLOOKUP("UD",'[1]Informacion '!P:Q,2,FALSE),"")</f>
        <v>Unidad</v>
      </c>
      <c r="D1421" s="40">
        <v>450</v>
      </c>
      <c r="E1421" s="43">
        <v>200</v>
      </c>
      <c r="F1421" s="44">
        <f t="shared" ref="F1421:F1431" ca="1" si="45">INDIRECT(ADDRESS(ROW(),COLUMN()-2,4))*INDIRECT(ADDRESS(ROW(),COLUMN()-1,4))</f>
        <v>90000</v>
      </c>
    </row>
    <row r="1422" spans="1:6" x14ac:dyDescent="0.3">
      <c r="A1422" s="40" t="s">
        <v>92</v>
      </c>
      <c r="B1422" s="41" t="str">
        <f ca="1">IFERROR(INDEX(UNSPSCDes,MATCH(INDIRECT(ADDRESS(ROW(),COLUMN()-1,4)),UNSPSCCode,0)),IF(INDIRECT(ADDRESS(ROW(),COLUMN()-1,4))="14111703","Toallas de papel",""))</f>
        <v>Toallas de papel</v>
      </c>
      <c r="C1422" s="42" t="str">
        <f>IFERROR(VLOOKUP("PAQ",'[1]Informacion '!P:Q,2,FALSE),"")</f>
        <v>Paquete</v>
      </c>
      <c r="D1422" s="40">
        <v>4</v>
      </c>
      <c r="E1422" s="43">
        <v>1000</v>
      </c>
      <c r="F1422" s="44">
        <f t="shared" ca="1" si="45"/>
        <v>4000</v>
      </c>
    </row>
    <row r="1423" spans="1:6" x14ac:dyDescent="0.3">
      <c r="A1423" s="40" t="s">
        <v>93</v>
      </c>
      <c r="B1423" s="41" t="str">
        <f ca="1">IFERROR(INDEX(UNSPSCDes,MATCH(INDIRECT(ADDRESS(ROW(),COLUMN()-1,4)),UNSPSCCode,0)),IF(INDIRECT(ADDRESS(ROW(),COLUMN()-1,4))="14111704","Papel higiénico",""))</f>
        <v>Papel higiénico</v>
      </c>
      <c r="C1423" s="42" t="str">
        <f>IFERROR(VLOOKUP("UD",'[1]Informacion '!P:Q,2,FALSE),"")</f>
        <v>Unidad</v>
      </c>
      <c r="D1423" s="40">
        <v>350</v>
      </c>
      <c r="E1423" s="43">
        <v>80</v>
      </c>
      <c r="F1423" s="44">
        <f t="shared" ca="1" si="45"/>
        <v>28000</v>
      </c>
    </row>
    <row r="1424" spans="1:6" x14ac:dyDescent="0.3">
      <c r="A1424" s="40" t="s">
        <v>95</v>
      </c>
      <c r="B1424" s="41" t="str">
        <f ca="1">IFERROR(INDEX(UNSPSCDes,MATCH(INDIRECT(ADDRESS(ROW(),COLUMN()-1,4)),UNSPSCCode,0)),IF(INDIRECT(ADDRESS(ROW(),COLUMN()-1,4))="47131603","Esponjas",""))</f>
        <v>Esponjas</v>
      </c>
      <c r="C1424" s="42" t="str">
        <f>IFERROR(VLOOKUP("UD",'[1]Informacion '!P:Q,2,FALSE),"")</f>
        <v>Unidad</v>
      </c>
      <c r="D1424" s="40">
        <v>50</v>
      </c>
      <c r="E1424" s="43">
        <v>50</v>
      </c>
      <c r="F1424" s="44">
        <f t="shared" ca="1" si="45"/>
        <v>2500</v>
      </c>
    </row>
    <row r="1425" spans="1:6" x14ac:dyDescent="0.3">
      <c r="A1425" s="40" t="s">
        <v>96</v>
      </c>
      <c r="B1425" s="41" t="str">
        <f ca="1">IFERROR(INDEX(UNSPSCDes,MATCH(INDIRECT(ADDRESS(ROW(),COLUMN()-1,4)),UNSPSCCode,0)),IF(INDIRECT(ADDRESS(ROW(),COLUMN()-1,4))="47121701","Bolsas de basura",""))</f>
        <v>Bolsas de basura</v>
      </c>
      <c r="C1425" s="42" t="str">
        <f>IFERROR(VLOOKUP("MIL",'[1]Informacion '!P:Q,2,FALSE),"")</f>
        <v>Millar</v>
      </c>
      <c r="D1425" s="40">
        <v>10</v>
      </c>
      <c r="E1425" s="43">
        <v>6000</v>
      </c>
      <c r="F1425" s="44">
        <f t="shared" ca="1" si="45"/>
        <v>60000</v>
      </c>
    </row>
    <row r="1426" spans="1:6" x14ac:dyDescent="0.3">
      <c r="A1426" s="40" t="s">
        <v>96</v>
      </c>
      <c r="B1426" s="41" t="str">
        <f ca="1">IFERROR(INDEX(UNSPSCDes,MATCH(INDIRECT(ADDRESS(ROW(),COLUMN()-1,4)),UNSPSCCode,0)),IF(INDIRECT(ADDRESS(ROW(),COLUMN()-1,4))="47121701","Bolsas de basura",""))</f>
        <v>Bolsas de basura</v>
      </c>
      <c r="C1426" s="42" t="str">
        <f>IFERROR(VLOOKUP("MIL",'[1]Informacion '!P:Q,2,FALSE),"")</f>
        <v>Millar</v>
      </c>
      <c r="D1426" s="40">
        <v>7</v>
      </c>
      <c r="E1426" s="43">
        <v>1800</v>
      </c>
      <c r="F1426" s="44">
        <f t="shared" ca="1" si="45"/>
        <v>12600</v>
      </c>
    </row>
    <row r="1427" spans="1:6" x14ac:dyDescent="0.3">
      <c r="A1427" s="40" t="s">
        <v>97</v>
      </c>
      <c r="B1427" s="41" t="str">
        <f ca="1">IFERROR(INDEX(UNSPSCDes,MATCH(INDIRECT(ADDRESS(ROW(),COLUMN()-1,4)),UNSPSCCode,0)),IF(INDIRECT(ADDRESS(ROW(),COLUMN()-1,4))="53131608","Jabones",""))</f>
        <v>Jabones</v>
      </c>
      <c r="C1427" s="42" t="str">
        <f>IFERROR(VLOOKUP("GAL",'[1]Informacion '!P:Q,2,FALSE),"")</f>
        <v>Galón</v>
      </c>
      <c r="D1427" s="40">
        <v>54</v>
      </c>
      <c r="E1427" s="43">
        <v>180</v>
      </c>
      <c r="F1427" s="44">
        <f t="shared" ca="1" si="45"/>
        <v>9720</v>
      </c>
    </row>
    <row r="1428" spans="1:6" x14ac:dyDescent="0.3">
      <c r="A1428" s="40" t="s">
        <v>97</v>
      </c>
      <c r="B1428" s="41" t="str">
        <f ca="1">IFERROR(INDEX(UNSPSCDes,MATCH(INDIRECT(ADDRESS(ROW(),COLUMN()-1,4)),UNSPSCCode,0)),IF(INDIRECT(ADDRESS(ROW(),COLUMN()-1,4))="53131608","Jabones",""))</f>
        <v>Jabones</v>
      </c>
      <c r="C1428" s="42" t="str">
        <f>IFERROR(VLOOKUP("GAL",'[1]Informacion '!P:Q,2,FALSE),"")</f>
        <v>Galón</v>
      </c>
      <c r="D1428" s="40">
        <v>36</v>
      </c>
      <c r="E1428" s="43">
        <v>150</v>
      </c>
      <c r="F1428" s="44">
        <f t="shared" ca="1" si="45"/>
        <v>5400</v>
      </c>
    </row>
    <row r="1429" spans="1:6" x14ac:dyDescent="0.3">
      <c r="A1429" s="40" t="s">
        <v>97</v>
      </c>
      <c r="B1429" s="41" t="str">
        <f ca="1">IFERROR(INDEX(UNSPSCDes,MATCH(INDIRECT(ADDRESS(ROW(),COLUMN()-1,4)),UNSPSCCode,0)),IF(INDIRECT(ADDRESS(ROW(),COLUMN()-1,4))="53131608","Jabones",""))</f>
        <v>Jabones</v>
      </c>
      <c r="C1429" s="42" t="str">
        <f>IFERROR(VLOOKUP("UD",'[1]Informacion '!P:Q,2,FALSE),"")</f>
        <v>Unidad</v>
      </c>
      <c r="D1429" s="40">
        <v>50</v>
      </c>
      <c r="E1429" s="43">
        <v>180</v>
      </c>
      <c r="F1429" s="44">
        <f t="shared" ca="1" si="45"/>
        <v>9000</v>
      </c>
    </row>
    <row r="1430" spans="1:6" x14ac:dyDescent="0.3">
      <c r="A1430" s="40" t="s">
        <v>98</v>
      </c>
      <c r="B1430" s="41" t="str">
        <f ca="1">IFERROR(INDEX(UNSPSCDes,MATCH(INDIRECT(ADDRESS(ROW(),COLUMN()-1,4)),UNSPSCCode,0)),IF(INDIRECT(ADDRESS(ROW(),COLUMN()-1,4))="47131803","Desinfectantes para uso doméstico",""))</f>
        <v>Desinfectantes para uso doméstico</v>
      </c>
      <c r="C1430" s="42" t="str">
        <f>IFERROR(VLOOKUP("GAL",'[1]Informacion '!P:Q,2,FALSE),"")</f>
        <v>Galón</v>
      </c>
      <c r="D1430" s="40">
        <v>250</v>
      </c>
      <c r="E1430" s="43">
        <v>180</v>
      </c>
      <c r="F1430" s="44">
        <f t="shared" ca="1" si="45"/>
        <v>45000</v>
      </c>
    </row>
    <row r="1431" spans="1:6" x14ac:dyDescent="0.3">
      <c r="A1431" s="40" t="s">
        <v>99</v>
      </c>
      <c r="B1431" s="41" t="str">
        <f ca="1">IFERROR(INDEX(UNSPSCDes,MATCH(INDIRECT(ADDRESS(ROW(),COLUMN()-1,4)),UNSPSCCode,0)),IF(INDIRECT(ADDRESS(ROW(),COLUMN()-1,4))="47131807","Blanqueadores",""))</f>
        <v>Blanqueadores</v>
      </c>
      <c r="C1431" s="42" t="str">
        <f>IFERROR(VLOOKUP("GAL",'[1]Informacion '!P:Q,2,FALSE),"")</f>
        <v>Galón</v>
      </c>
      <c r="D1431" s="40">
        <v>250</v>
      </c>
      <c r="E1431" s="43">
        <v>90</v>
      </c>
      <c r="F1431" s="44">
        <f t="shared" ca="1" si="45"/>
        <v>22500</v>
      </c>
    </row>
    <row r="1432" spans="1:6" x14ac:dyDescent="0.3">
      <c r="A1432" s="30"/>
      <c r="B1432" s="30"/>
      <c r="C1432" s="30"/>
      <c r="D1432" s="30"/>
      <c r="E1432" s="45" t="s">
        <v>52</v>
      </c>
      <c r="F1432" s="46">
        <f ca="1">SUM(Table67[MONTO TOTAL ESTIMADO])</f>
        <v>288720</v>
      </c>
    </row>
    <row r="1433" spans="1:6" ht="15" thickBot="1" x14ac:dyDescent="0.35">
      <c r="A1433" s="30"/>
      <c r="B1433" s="30"/>
      <c r="C1433" s="30"/>
      <c r="D1433" s="30"/>
      <c r="E1433" s="30"/>
      <c r="F1433" s="30"/>
    </row>
    <row r="1434" spans="1:6" ht="21" thickBot="1" x14ac:dyDescent="0.35">
      <c r="A1434" s="31" t="s">
        <v>19</v>
      </c>
      <c r="B1434" s="31" t="s">
        <v>20</v>
      </c>
      <c r="C1434" s="31" t="s">
        <v>21</v>
      </c>
      <c r="D1434" s="31" t="s">
        <v>22</v>
      </c>
      <c r="E1434" s="31" t="s">
        <v>23</v>
      </c>
      <c r="F1434" s="31" t="s">
        <v>24</v>
      </c>
    </row>
    <row r="1435" spans="1:6" ht="21" thickBot="1" x14ac:dyDescent="0.35">
      <c r="A1435" s="12" t="s">
        <v>326</v>
      </c>
      <c r="B1435" s="12" t="s">
        <v>326</v>
      </c>
      <c r="C1435" s="12" t="s">
        <v>27</v>
      </c>
      <c r="D1435" s="12" t="s">
        <v>28</v>
      </c>
      <c r="E1435" s="12" t="s">
        <v>59</v>
      </c>
      <c r="F1435" s="12"/>
    </row>
    <row r="1436" spans="1:6" ht="15" thickBot="1" x14ac:dyDescent="0.35">
      <c r="A1436" s="32" t="s">
        <v>30</v>
      </c>
      <c r="B1436" s="33" t="s">
        <v>31</v>
      </c>
      <c r="C1436" s="34">
        <v>45943</v>
      </c>
      <c r="D1436" s="32" t="s">
        <v>32</v>
      </c>
      <c r="E1436" s="35" t="s">
        <v>33</v>
      </c>
      <c r="F1436" s="36" t="s">
        <v>34</v>
      </c>
    </row>
    <row r="1437" spans="1:6" ht="15" thickBot="1" x14ac:dyDescent="0.35">
      <c r="A1437" s="37"/>
      <c r="B1437" s="33" t="s">
        <v>35</v>
      </c>
      <c r="C1437" s="38">
        <f>IF(C1436="","",IF(AND(MONTH(C1436)&gt;=1,MONTH(C1436)&lt;=3),1,IF(AND(MONTH(C1436)&gt;=4,MONTH(C1436)&lt;=6),2,IF(AND(MONTH(C1436)&gt;=7,MONTH(C1436)&lt;=9),3,4))))</f>
        <v>4</v>
      </c>
      <c r="D1437" s="37"/>
      <c r="E1437" s="35" t="s">
        <v>36</v>
      </c>
      <c r="F1437" s="36" t="s">
        <v>37</v>
      </c>
    </row>
    <row r="1438" spans="1:6" ht="15" thickBot="1" x14ac:dyDescent="0.35">
      <c r="A1438" s="37"/>
      <c r="B1438" s="33" t="s">
        <v>38</v>
      </c>
      <c r="C1438" s="34">
        <v>45947</v>
      </c>
      <c r="D1438" s="37"/>
      <c r="E1438" s="35" t="s">
        <v>39</v>
      </c>
      <c r="F1438" s="36" t="s">
        <v>37</v>
      </c>
    </row>
    <row r="1439" spans="1:6" ht="15" thickBot="1" x14ac:dyDescent="0.35">
      <c r="A1439" s="37"/>
      <c r="B1439" s="33" t="s">
        <v>35</v>
      </c>
      <c r="C1439" s="38">
        <f>IF(C1438="","",IF(AND(MONTH(C1438)&gt;=1,MONTH(C1438)&lt;=3),1,IF(AND(MONTH(C1438)&gt;=4,MONTH(C1438)&lt;=6),2,IF(AND(MONTH(C1438)&gt;=7,MONTH(C1438)&lt;=9),3,4))))</f>
        <v>4</v>
      </c>
      <c r="D1439" s="37"/>
      <c r="E1439" s="35" t="s">
        <v>40</v>
      </c>
      <c r="F1439" s="36"/>
    </row>
    <row r="1440" spans="1:6" ht="15" thickBot="1" x14ac:dyDescent="0.35">
      <c r="A1440" s="30"/>
      <c r="B1440" s="30"/>
      <c r="C1440" s="30"/>
      <c r="D1440" s="30"/>
      <c r="E1440" s="30"/>
      <c r="F1440" s="30"/>
    </row>
    <row r="1441" spans="1:6" ht="15" thickBot="1" x14ac:dyDescent="0.35">
      <c r="A1441" s="39" t="s">
        <v>41</v>
      </c>
      <c r="B1441" s="39" t="s">
        <v>42</v>
      </c>
      <c r="C1441" s="39" t="s">
        <v>43</v>
      </c>
      <c r="D1441" s="39" t="s">
        <v>44</v>
      </c>
      <c r="E1441" s="39" t="s">
        <v>45</v>
      </c>
      <c r="F1441" s="39" t="s">
        <v>46</v>
      </c>
    </row>
    <row r="1442" spans="1:6" x14ac:dyDescent="0.3">
      <c r="A1442" s="40" t="s">
        <v>111</v>
      </c>
      <c r="B1442" s="41" t="str">
        <f ca="1">IFERROR(INDEX(UNSPSCDes,MATCH(INDIRECT(ADDRESS(ROW(),COLUMN()-1,4)),UNSPSCCode,0)),IF(INDIRECT(ADDRESS(ROW(),COLUMN()-1,4))="10121503","Maíz para forraje",""))</f>
        <v>Maíz para forraje</v>
      </c>
      <c r="C1442" s="42" t="str">
        <f>IFERROR(VLOOKUP("UD",'[1]Informacion '!P:Q,2,FALSE),"")</f>
        <v>Unidad</v>
      </c>
      <c r="D1442" s="40">
        <v>360</v>
      </c>
      <c r="E1442" s="43">
        <v>900</v>
      </c>
      <c r="F1442" s="44">
        <f t="shared" ref="F1442:F1471" ca="1" si="46">INDIRECT(ADDRESS(ROW(),COLUMN()-2,4))*INDIRECT(ADDRESS(ROW(),COLUMN()-1,4))</f>
        <v>324000</v>
      </c>
    </row>
    <row r="1443" spans="1:6" x14ac:dyDescent="0.3">
      <c r="A1443" s="40" t="s">
        <v>111</v>
      </c>
      <c r="B1443" s="41" t="str">
        <f ca="1">IFERROR(INDEX(UNSPSCDes,MATCH(INDIRECT(ADDRESS(ROW(),COLUMN()-1,4)),UNSPSCCode,0)),IF(INDIRECT(ADDRESS(ROW(),COLUMN()-1,4))="10121503","Maíz para forraje",""))</f>
        <v>Maíz para forraje</v>
      </c>
      <c r="C1443" s="42" t="str">
        <f>IFERROR(VLOOKUP("Q",'[1]Informacion '!P:Q,2,FALSE),"")</f>
        <v>Quintal</v>
      </c>
      <c r="D1443" s="40">
        <v>180</v>
      </c>
      <c r="E1443" s="43">
        <v>1000</v>
      </c>
      <c r="F1443" s="44">
        <f t="shared" ca="1" si="46"/>
        <v>180000</v>
      </c>
    </row>
    <row r="1444" spans="1:6" x14ac:dyDescent="0.3">
      <c r="A1444" s="40" t="s">
        <v>111</v>
      </c>
      <c r="B1444" s="41" t="str">
        <f ca="1">IFERROR(INDEX(UNSPSCDes,MATCH(INDIRECT(ADDRESS(ROW(),COLUMN()-1,4)),UNSPSCCode,0)),IF(INDIRECT(ADDRESS(ROW(),COLUMN()-1,4))="10121503","Maíz para forraje",""))</f>
        <v>Maíz para forraje</v>
      </c>
      <c r="C1444" s="42" t="str">
        <f>IFERROR(VLOOKUP("Q",'[1]Informacion '!P:Q,2,FALSE),"")</f>
        <v>Quintal</v>
      </c>
      <c r="D1444" s="40">
        <v>180</v>
      </c>
      <c r="E1444" s="43">
        <v>1750</v>
      </c>
      <c r="F1444" s="44">
        <f t="shared" ca="1" si="46"/>
        <v>315000</v>
      </c>
    </row>
    <row r="1445" spans="1:6" x14ac:dyDescent="0.3">
      <c r="A1445" s="40" t="s">
        <v>111</v>
      </c>
      <c r="B1445" s="41" t="str">
        <f ca="1">IFERROR(INDEX(UNSPSCDes,MATCH(INDIRECT(ADDRESS(ROW(),COLUMN()-1,4)),UNSPSCCode,0)),IF(INDIRECT(ADDRESS(ROW(),COLUMN()-1,4))="10121503","Maíz para forraje",""))</f>
        <v>Maíz para forraje</v>
      </c>
      <c r="C1445" s="42" t="str">
        <f>IFERROR(VLOOKUP("Q",'[1]Informacion '!P:Q,2,FALSE),"")</f>
        <v>Quintal</v>
      </c>
      <c r="D1445" s="40">
        <v>60</v>
      </c>
      <c r="E1445" s="43">
        <v>1250</v>
      </c>
      <c r="F1445" s="44">
        <f t="shared" ca="1" si="46"/>
        <v>75000</v>
      </c>
    </row>
    <row r="1446" spans="1:6" x14ac:dyDescent="0.3">
      <c r="A1446" s="40" t="s">
        <v>112</v>
      </c>
      <c r="B1446" s="41" t="str">
        <f ca="1">IFERROR(INDEX(UNSPSCDes,MATCH(INDIRECT(ADDRESS(ROW(),COLUMN()-1,4)),UNSPSCCode,0)),IF(INDIRECT(ADDRESS(ROW(),COLUMN()-1,4))="10121501","Salvado de trigo puro",""))</f>
        <v>Salvado de trigo puro</v>
      </c>
      <c r="C1446" s="42" t="str">
        <f>IFERROR(VLOOKUP("Q",'[1]Informacion '!P:Q,2,FALSE),"")</f>
        <v>Quintal</v>
      </c>
      <c r="D1446" s="40">
        <v>180</v>
      </c>
      <c r="E1446" s="43">
        <v>700</v>
      </c>
      <c r="F1446" s="44">
        <f t="shared" ca="1" si="46"/>
        <v>126000</v>
      </c>
    </row>
    <row r="1447" spans="1:6" x14ac:dyDescent="0.3">
      <c r="A1447" s="40" t="s">
        <v>113</v>
      </c>
      <c r="B1447" s="41" t="str">
        <f ca="1">IFERROR(INDEX(UNSPSCDes,MATCH(INDIRECT(ADDRESS(ROW(),COLUMN()-1,4)),UNSPSCCode,0)),IF(INDIRECT(ADDRESS(ROW(),COLUMN()-1,4))="10121702","Alimento granulado para peces",""))</f>
        <v>Alimento granulado para peces</v>
      </c>
      <c r="C1447" s="42" t="str">
        <f>IFERROR(VLOOKUP("UD",'[1]Informacion '!P:Q,2,FALSE),"")</f>
        <v>Unidad</v>
      </c>
      <c r="D1447" s="40">
        <v>6</v>
      </c>
      <c r="E1447" s="43">
        <v>2200</v>
      </c>
      <c r="F1447" s="44">
        <f t="shared" ca="1" si="46"/>
        <v>13200</v>
      </c>
    </row>
    <row r="1448" spans="1:6" x14ac:dyDescent="0.3">
      <c r="A1448" s="40" t="s">
        <v>112</v>
      </c>
      <c r="B1448" s="41" t="str">
        <f ca="1">IFERROR(INDEX(UNSPSCDes,MATCH(INDIRECT(ADDRESS(ROW(),COLUMN()-1,4)),UNSPSCCode,0)),IF(INDIRECT(ADDRESS(ROW(),COLUMN()-1,4))="10121501","Salvado de trigo puro",""))</f>
        <v>Salvado de trigo puro</v>
      </c>
      <c r="C1448" s="42" t="str">
        <f>IFERROR(VLOOKUP("UD",'[1]Informacion '!P:Q,2,FALSE),"")</f>
        <v>Unidad</v>
      </c>
      <c r="D1448" s="40">
        <v>40</v>
      </c>
      <c r="E1448" s="43">
        <v>2000</v>
      </c>
      <c r="F1448" s="44">
        <f t="shared" ca="1" si="46"/>
        <v>80000</v>
      </c>
    </row>
    <row r="1449" spans="1:6" x14ac:dyDescent="0.3">
      <c r="A1449" s="40" t="s">
        <v>114</v>
      </c>
      <c r="B1449" s="41" t="str">
        <f ca="1">IFERROR(INDEX(UNSPSCDes,MATCH(INDIRECT(ADDRESS(ROW(),COLUMN()-1,4)),UNSPSCCode,0)),IF(INDIRECT(ADDRESS(ROW(),COLUMN()-1,4))="10121801","Comida seca para perros",""))</f>
        <v>Comida seca para perros</v>
      </c>
      <c r="C1449" s="42" t="str">
        <f>IFERROR(VLOOKUP("UD",'[1]Informacion '!P:Q,2,FALSE),"")</f>
        <v>Unidad</v>
      </c>
      <c r="D1449" s="40">
        <v>20</v>
      </c>
      <c r="E1449" s="43">
        <v>2500</v>
      </c>
      <c r="F1449" s="44">
        <f t="shared" ca="1" si="46"/>
        <v>50000</v>
      </c>
    </row>
    <row r="1450" spans="1:6" ht="20.399999999999999" x14ac:dyDescent="0.3">
      <c r="A1450" s="40" t="s">
        <v>62</v>
      </c>
      <c r="B1450" s="41" t="str">
        <f ca="1">IFERROR(INDEX(UNSPSCDes,MATCH(INDIRECT(ADDRESS(ROW(),COLUMN()-1,4)),UNSPSCCode,0)),IF(INDIRECT(ADDRESS(ROW(),COLUMN()-1,4))="50161509","Azucares naturales o productos endulzantes",""))</f>
        <v>Azucares naturales o productos endulzantes</v>
      </c>
      <c r="C1450" s="42" t="str">
        <f>IFERROR(VLOOKUP("UD",'[1]Informacion '!P:Q,2,FALSE),"")</f>
        <v>Unidad</v>
      </c>
      <c r="D1450" s="40">
        <v>4</v>
      </c>
      <c r="E1450" s="43">
        <v>7000</v>
      </c>
      <c r="F1450" s="44">
        <f t="shared" ca="1" si="46"/>
        <v>28000</v>
      </c>
    </row>
    <row r="1451" spans="1:6" ht="20.399999999999999" x14ac:dyDescent="0.3">
      <c r="A1451" s="40" t="s">
        <v>62</v>
      </c>
      <c r="B1451" s="41" t="str">
        <f ca="1">IFERROR(INDEX(UNSPSCDes,MATCH(INDIRECT(ADDRESS(ROW(),COLUMN()-1,4)),UNSPSCCode,0)),IF(INDIRECT(ADDRESS(ROW(),COLUMN()-1,4))="50161509","Azucares naturales o productos endulzantes",""))</f>
        <v>Azucares naturales o productos endulzantes</v>
      </c>
      <c r="C1451" s="42" t="str">
        <f>IFERROR(VLOOKUP("UD",'[1]Informacion '!P:Q,2,FALSE),"")</f>
        <v>Unidad</v>
      </c>
      <c r="D1451" s="40">
        <v>6</v>
      </c>
      <c r="E1451" s="43">
        <v>7000</v>
      </c>
      <c r="F1451" s="44">
        <f t="shared" ca="1" si="46"/>
        <v>42000</v>
      </c>
    </row>
    <row r="1452" spans="1:6" x14ac:dyDescent="0.3">
      <c r="A1452" s="40" t="s">
        <v>116</v>
      </c>
      <c r="B1452" s="41" t="str">
        <f ca="1">IFERROR(INDEX(UNSPSCDes,MATCH(INDIRECT(ADDRESS(ROW(),COLUMN()-1,4)),UNSPSCCode,0)),IF(INDIRECT(ADDRESS(ROW(),COLUMN()-1,4))="10171503","Harina de pescado",""))</f>
        <v>Harina de pescado</v>
      </c>
      <c r="C1452" s="42" t="str">
        <f>IFERROR(VLOOKUP("Q",'[1]Informacion '!P:Q,2,FALSE),"")</f>
        <v>Quintal</v>
      </c>
      <c r="D1452" s="40">
        <v>6</v>
      </c>
      <c r="E1452" s="43">
        <v>1500</v>
      </c>
      <c r="F1452" s="44">
        <f t="shared" ca="1" si="46"/>
        <v>9000</v>
      </c>
    </row>
    <row r="1453" spans="1:6" x14ac:dyDescent="0.3">
      <c r="A1453" s="40" t="s">
        <v>114</v>
      </c>
      <c r="B1453" s="41" t="str">
        <f ca="1">IFERROR(INDEX(UNSPSCDes,MATCH(INDIRECT(ADDRESS(ROW(),COLUMN()-1,4)),UNSPSCCode,0)),IF(INDIRECT(ADDRESS(ROW(),COLUMN()-1,4))="10121801","Comida seca para perros",""))</f>
        <v>Comida seca para perros</v>
      </c>
      <c r="C1453" s="42" t="str">
        <f>IFERROR(VLOOKUP("UD",'[1]Informacion '!P:Q,2,FALSE),"")</f>
        <v>Unidad</v>
      </c>
      <c r="D1453" s="40">
        <v>10</v>
      </c>
      <c r="E1453" s="43">
        <v>3800</v>
      </c>
      <c r="F1453" s="44">
        <f t="shared" ca="1" si="46"/>
        <v>38000</v>
      </c>
    </row>
    <row r="1454" spans="1:6" x14ac:dyDescent="0.3">
      <c r="A1454" s="40" t="s">
        <v>117</v>
      </c>
      <c r="B1454" s="41" t="str">
        <f ca="1">IFERROR(INDEX(UNSPSCDes,MATCH(INDIRECT(ADDRESS(ROW(),COLUMN()-1,4)),UNSPSCCode,0)),IF(INDIRECT(ADDRESS(ROW(),COLUMN()-1,4))="10122102","Comida para visones",""))</f>
        <v>Comida para visones</v>
      </c>
      <c r="C1454" s="42" t="str">
        <f>IFERROR(VLOOKUP("UD",'[1]Informacion '!P:Q,2,FALSE),"")</f>
        <v>Unidad</v>
      </c>
      <c r="D1454" s="40">
        <v>1</v>
      </c>
      <c r="E1454" s="43">
        <v>6000</v>
      </c>
      <c r="F1454" s="44">
        <f t="shared" ca="1" si="46"/>
        <v>6000</v>
      </c>
    </row>
    <row r="1455" spans="1:6" x14ac:dyDescent="0.3">
      <c r="A1455" s="40" t="s">
        <v>114</v>
      </c>
      <c r="B1455" s="41" t="str">
        <f ca="1">IFERROR(INDEX(UNSPSCDes,MATCH(INDIRECT(ADDRESS(ROW(),COLUMN()-1,4)),UNSPSCCode,0)),IF(INDIRECT(ADDRESS(ROW(),COLUMN()-1,4))="10121801","Comida seca para perros",""))</f>
        <v>Comida seca para perros</v>
      </c>
      <c r="C1455" s="42" t="str">
        <f>IFERROR(VLOOKUP("UD",'[1]Informacion '!P:Q,2,FALSE),"")</f>
        <v>Unidad</v>
      </c>
      <c r="D1455" s="40">
        <v>2</v>
      </c>
      <c r="E1455" s="43">
        <v>12000</v>
      </c>
      <c r="F1455" s="44">
        <f t="shared" ca="1" si="46"/>
        <v>24000</v>
      </c>
    </row>
    <row r="1456" spans="1:6" x14ac:dyDescent="0.3">
      <c r="A1456" s="40" t="s">
        <v>118</v>
      </c>
      <c r="B1456" s="41" t="str">
        <f ca="1">IFERROR(INDEX(UNSPSCDes,MATCH(INDIRECT(ADDRESS(ROW(),COLUMN()-1,4)),UNSPSCCode,0)),IF(INDIRECT(ADDRESS(ROW(),COLUMN()-1,4))="10121804","Comida seca para gatos",""))</f>
        <v>Comida seca para gatos</v>
      </c>
      <c r="C1456" s="42" t="str">
        <f>IFERROR(VLOOKUP("UD",'[1]Informacion '!P:Q,2,FALSE),"")</f>
        <v>Unidad</v>
      </c>
      <c r="D1456" s="40">
        <v>5</v>
      </c>
      <c r="E1456" s="43">
        <v>2100</v>
      </c>
      <c r="F1456" s="44">
        <f t="shared" ca="1" si="46"/>
        <v>10500</v>
      </c>
    </row>
    <row r="1457" spans="1:6" x14ac:dyDescent="0.3">
      <c r="A1457" s="40" t="s">
        <v>119</v>
      </c>
      <c r="B1457" s="41" t="str">
        <f ca="1">IFERROR(INDEX(UNSPSCDes,MATCH(INDIRECT(ADDRESS(ROW(),COLUMN()-1,4)),UNSPSCCode,0)),IF(INDIRECT(ADDRESS(ROW(),COLUMN()-1,4))="10121604","Alimento avícola",""))</f>
        <v>Alimento avícola</v>
      </c>
      <c r="C1457" s="42" t="str">
        <f>IFERROR(VLOOKUP("UD",'[1]Informacion '!P:Q,2,FALSE),"")</f>
        <v>Unidad</v>
      </c>
      <c r="D1457" s="40">
        <v>10</v>
      </c>
      <c r="E1457" s="43">
        <v>3000</v>
      </c>
      <c r="F1457" s="44">
        <f t="shared" ca="1" si="46"/>
        <v>30000</v>
      </c>
    </row>
    <row r="1458" spans="1:6" x14ac:dyDescent="0.3">
      <c r="A1458" s="40" t="s">
        <v>119</v>
      </c>
      <c r="B1458" s="41" t="str">
        <f ca="1">IFERROR(INDEX(UNSPSCDes,MATCH(INDIRECT(ADDRESS(ROW(),COLUMN()-1,4)),UNSPSCCode,0)),IF(INDIRECT(ADDRESS(ROW(),COLUMN()-1,4))="10121604","Alimento avícola",""))</f>
        <v>Alimento avícola</v>
      </c>
      <c r="C1458" s="42" t="str">
        <f>IFERROR(VLOOKUP("UD",'[1]Informacion '!P:Q,2,FALSE),"")</f>
        <v>Unidad</v>
      </c>
      <c r="D1458" s="40">
        <v>4</v>
      </c>
      <c r="E1458" s="43">
        <v>1700</v>
      </c>
      <c r="F1458" s="44">
        <f t="shared" ca="1" si="46"/>
        <v>6800</v>
      </c>
    </row>
    <row r="1459" spans="1:6" x14ac:dyDescent="0.3">
      <c r="A1459" s="40" t="s">
        <v>117</v>
      </c>
      <c r="B1459" s="41" t="str">
        <f ca="1">IFERROR(INDEX(UNSPSCDes,MATCH(INDIRECT(ADDRESS(ROW(),COLUMN()-1,4)),UNSPSCCode,0)),IF(INDIRECT(ADDRESS(ROW(),COLUMN()-1,4))="10122102","Comida para visones",""))</f>
        <v>Comida para visones</v>
      </c>
      <c r="C1459" s="42" t="str">
        <f>IFERROR(VLOOKUP("UD",'[1]Informacion '!P:Q,2,FALSE),"")</f>
        <v>Unidad</v>
      </c>
      <c r="D1459" s="40">
        <v>4</v>
      </c>
      <c r="E1459" s="43">
        <v>2500</v>
      </c>
      <c r="F1459" s="44">
        <f t="shared" ca="1" si="46"/>
        <v>10000</v>
      </c>
    </row>
    <row r="1460" spans="1:6" x14ac:dyDescent="0.3">
      <c r="A1460" s="40" t="s">
        <v>112</v>
      </c>
      <c r="B1460" s="41" t="str">
        <f ca="1">IFERROR(INDEX(UNSPSCDes,MATCH(INDIRECT(ADDRESS(ROW(),COLUMN()-1,4)),UNSPSCCode,0)),IF(INDIRECT(ADDRESS(ROW(),COLUMN()-1,4))="10121501","Salvado de trigo puro",""))</f>
        <v>Salvado de trigo puro</v>
      </c>
      <c r="C1460" s="42" t="str">
        <f>IFERROR(VLOOKUP("UD",'[1]Informacion '!P:Q,2,FALSE),"")</f>
        <v>Unidad</v>
      </c>
      <c r="D1460" s="40">
        <v>6</v>
      </c>
      <c r="E1460" s="43">
        <v>1800</v>
      </c>
      <c r="F1460" s="44">
        <f t="shared" ca="1" si="46"/>
        <v>10800</v>
      </c>
    </row>
    <row r="1461" spans="1:6" x14ac:dyDescent="0.3">
      <c r="A1461" s="40" t="s">
        <v>117</v>
      </c>
      <c r="B1461" s="41" t="str">
        <f ca="1">IFERROR(INDEX(UNSPSCDes,MATCH(INDIRECT(ADDRESS(ROW(),COLUMN()-1,4)),UNSPSCCode,0)),IF(INDIRECT(ADDRESS(ROW(),COLUMN()-1,4))="10122102","Comida para visones",""))</f>
        <v>Comida para visones</v>
      </c>
      <c r="C1461" s="42" t="str">
        <f>IFERROR(VLOOKUP("UD",'[1]Informacion '!P:Q,2,FALSE),"")</f>
        <v>Unidad</v>
      </c>
      <c r="D1461" s="40">
        <v>40</v>
      </c>
      <c r="E1461" s="43">
        <v>2000</v>
      </c>
      <c r="F1461" s="44">
        <f t="shared" ca="1" si="46"/>
        <v>80000</v>
      </c>
    </row>
    <row r="1462" spans="1:6" x14ac:dyDescent="0.3">
      <c r="A1462" s="40" t="s">
        <v>112</v>
      </c>
      <c r="B1462" s="41" t="str">
        <f ca="1">IFERROR(INDEX(UNSPSCDes,MATCH(INDIRECT(ADDRESS(ROW(),COLUMN()-1,4)),UNSPSCCode,0)),IF(INDIRECT(ADDRESS(ROW(),COLUMN()-1,4))="10121501","Salvado de trigo puro",""))</f>
        <v>Salvado de trigo puro</v>
      </c>
      <c r="C1462" s="42" t="str">
        <f>IFERROR(VLOOKUP("UD",'[1]Informacion '!P:Q,2,FALSE),"")</f>
        <v>Unidad</v>
      </c>
      <c r="D1462" s="40">
        <v>10</v>
      </c>
      <c r="E1462" s="43">
        <v>250</v>
      </c>
      <c r="F1462" s="44">
        <f t="shared" ca="1" si="46"/>
        <v>2500</v>
      </c>
    </row>
    <row r="1463" spans="1:6" x14ac:dyDescent="0.3">
      <c r="A1463" s="40" t="s">
        <v>309</v>
      </c>
      <c r="B1463" s="41" t="str">
        <f ca="1">IFERROR(INDEX(UNSPSCDes,MATCH(INDIRECT(ADDRESS(ROW(),COLUMN()-1,4)),UNSPSCCode,0)),IF(INDIRECT(ADDRESS(ROW(),COLUMN()-1,4))="10121901","Comida granulada para roedores",""))</f>
        <v>Comida granulada para roedores</v>
      </c>
      <c r="C1463" s="42" t="str">
        <f>IFERROR(VLOOKUP("UD",'[1]Informacion '!P:Q,2,FALSE),"")</f>
        <v>Unidad</v>
      </c>
      <c r="D1463" s="40">
        <v>15</v>
      </c>
      <c r="E1463" s="43">
        <v>12000</v>
      </c>
      <c r="F1463" s="44">
        <f t="shared" ca="1" si="46"/>
        <v>180000</v>
      </c>
    </row>
    <row r="1464" spans="1:6" x14ac:dyDescent="0.3">
      <c r="A1464" s="40" t="s">
        <v>119</v>
      </c>
      <c r="B1464" s="41" t="str">
        <f ca="1">IFERROR(INDEX(UNSPSCDes,MATCH(INDIRECT(ADDRESS(ROW(),COLUMN()-1,4)),UNSPSCCode,0)),IF(INDIRECT(ADDRESS(ROW(),COLUMN()-1,4))="10121604","Alimento avícola",""))</f>
        <v>Alimento avícola</v>
      </c>
      <c r="C1464" s="42" t="str">
        <f>IFERROR(VLOOKUP("UD",'[1]Informacion '!P:Q,2,FALSE),"")</f>
        <v>Unidad</v>
      </c>
      <c r="D1464" s="40">
        <v>2</v>
      </c>
      <c r="E1464" s="43">
        <v>11000</v>
      </c>
      <c r="F1464" s="44">
        <f t="shared" ca="1" si="46"/>
        <v>22000</v>
      </c>
    </row>
    <row r="1465" spans="1:6" x14ac:dyDescent="0.3">
      <c r="A1465" s="40" t="s">
        <v>112</v>
      </c>
      <c r="B1465" s="41" t="str">
        <f ca="1">IFERROR(INDEX(UNSPSCDes,MATCH(INDIRECT(ADDRESS(ROW(),COLUMN()-1,4)),UNSPSCCode,0)),IF(INDIRECT(ADDRESS(ROW(),COLUMN()-1,4))="10121501","Salvado de trigo puro",""))</f>
        <v>Salvado de trigo puro</v>
      </c>
      <c r="C1465" s="42" t="str">
        <f>IFERROR(VLOOKUP("UD",'[1]Informacion '!P:Q,2,FALSE),"")</f>
        <v>Unidad</v>
      </c>
      <c r="D1465" s="40">
        <v>5</v>
      </c>
      <c r="E1465" s="43">
        <v>8500</v>
      </c>
      <c r="F1465" s="44">
        <f t="shared" ca="1" si="46"/>
        <v>42500</v>
      </c>
    </row>
    <row r="1466" spans="1:6" x14ac:dyDescent="0.3">
      <c r="A1466" s="40" t="s">
        <v>119</v>
      </c>
      <c r="B1466" s="41" t="str">
        <f ca="1">IFERROR(INDEX(UNSPSCDes,MATCH(INDIRECT(ADDRESS(ROW(),COLUMN()-1,4)),UNSPSCCode,0)),IF(INDIRECT(ADDRESS(ROW(),COLUMN()-1,4))="10121604","Alimento avícola",""))</f>
        <v>Alimento avícola</v>
      </c>
      <c r="C1466" s="42" t="str">
        <f>IFERROR(VLOOKUP("UD",'[1]Informacion '!P:Q,2,FALSE),"")</f>
        <v>Unidad</v>
      </c>
      <c r="D1466" s="40">
        <v>2</v>
      </c>
      <c r="E1466" s="43">
        <v>2500</v>
      </c>
      <c r="F1466" s="44">
        <f t="shared" ca="1" si="46"/>
        <v>5000</v>
      </c>
    </row>
    <row r="1467" spans="1:6" x14ac:dyDescent="0.3">
      <c r="A1467" s="40" t="s">
        <v>119</v>
      </c>
      <c r="B1467" s="41" t="str">
        <f ca="1">IFERROR(INDEX(UNSPSCDes,MATCH(INDIRECT(ADDRESS(ROW(),COLUMN()-1,4)),UNSPSCCode,0)),IF(INDIRECT(ADDRESS(ROW(),COLUMN()-1,4))="10121604","Alimento avícola",""))</f>
        <v>Alimento avícola</v>
      </c>
      <c r="C1467" s="42" t="str">
        <f>IFERROR(VLOOKUP("UD",'[1]Informacion '!P:Q,2,FALSE),"")</f>
        <v>Unidad</v>
      </c>
      <c r="D1467" s="40">
        <v>2</v>
      </c>
      <c r="E1467" s="43">
        <v>2300</v>
      </c>
      <c r="F1467" s="44">
        <f t="shared" ca="1" si="46"/>
        <v>4600</v>
      </c>
    </row>
    <row r="1468" spans="1:6" x14ac:dyDescent="0.3">
      <c r="A1468" s="40" t="s">
        <v>313</v>
      </c>
      <c r="B1468" s="41" t="str">
        <f ca="1">IFERROR(INDEX(UNSPSCDes,MATCH(INDIRECT(ADDRESS(ROW(),COLUMN()-1,4)),UNSPSCCode,0)),IF(INDIRECT(ADDRESS(ROW(),COLUMN()-1,4))="10121502","Avena para forraje",""))</f>
        <v>Avena para forraje</v>
      </c>
      <c r="C1468" s="42" t="str">
        <f>IFERROR(VLOOKUP("UD",'[1]Informacion '!P:Q,2,FALSE),"")</f>
        <v>Unidad</v>
      </c>
      <c r="D1468" s="40">
        <v>10</v>
      </c>
      <c r="E1468" s="43">
        <v>1000</v>
      </c>
      <c r="F1468" s="44">
        <f t="shared" ca="1" si="46"/>
        <v>10000</v>
      </c>
    </row>
    <row r="1469" spans="1:6" ht="20.399999999999999" x14ac:dyDescent="0.3">
      <c r="A1469" s="40" t="s">
        <v>311</v>
      </c>
      <c r="B1469" s="41" t="str">
        <f ca="1">IFERROR(INDEX(UNSPSCDes,MATCH(INDIRECT(ADDRESS(ROW(),COLUMN()-1,4)),UNSPSCCode,0)),IF(INDIRECT(ADDRESS(ROW(),COLUMN()-1,4))="10121603","Pasa bocas o comida recreacional para aves",""))</f>
        <v>Pasa bocas o comida recreacional para aves</v>
      </c>
      <c r="C1469" s="42" t="str">
        <f>IFERROR(VLOOKUP("UD",'[1]Informacion '!P:Q,2,FALSE),"")</f>
        <v>Unidad</v>
      </c>
      <c r="D1469" s="40">
        <v>2</v>
      </c>
      <c r="E1469" s="43">
        <v>2500</v>
      </c>
      <c r="F1469" s="44">
        <f t="shared" ca="1" si="46"/>
        <v>5000</v>
      </c>
    </row>
    <row r="1470" spans="1:6" x14ac:dyDescent="0.3">
      <c r="A1470" s="40" t="s">
        <v>119</v>
      </c>
      <c r="B1470" s="41" t="str">
        <f ca="1">IFERROR(INDEX(UNSPSCDes,MATCH(INDIRECT(ADDRESS(ROW(),COLUMN()-1,4)),UNSPSCCode,0)),IF(INDIRECT(ADDRESS(ROW(),COLUMN()-1,4))="10121604","Alimento avícola",""))</f>
        <v>Alimento avícola</v>
      </c>
      <c r="C1470" s="42" t="str">
        <f>IFERROR(VLOOKUP("UD",'[1]Informacion '!P:Q,2,FALSE),"")</f>
        <v>Unidad</v>
      </c>
      <c r="D1470" s="40">
        <v>2</v>
      </c>
      <c r="E1470" s="43">
        <v>3000</v>
      </c>
      <c r="F1470" s="44">
        <f t="shared" ca="1" si="46"/>
        <v>6000</v>
      </c>
    </row>
    <row r="1471" spans="1:6" x14ac:dyDescent="0.3">
      <c r="A1471" s="40" t="s">
        <v>115</v>
      </c>
      <c r="B1471" s="41" t="str">
        <f ca="1">IFERROR(INDEX(UNSPSCDes,MATCH(INDIRECT(ADDRESS(ROW(),COLUMN()-1,4)),UNSPSCCode,0)),IF(INDIRECT(ADDRESS(ROW(),COLUMN()-1,4))="10121504","Sorgo para forraje",""))</f>
        <v>Sorgo para forraje</v>
      </c>
      <c r="C1471" s="42" t="str">
        <f>IFERROR(VLOOKUP("UD",'[1]Informacion '!P:Q,2,FALSE),"")</f>
        <v>Unidad</v>
      </c>
      <c r="D1471" s="40">
        <v>6</v>
      </c>
      <c r="E1471" s="43">
        <v>2500</v>
      </c>
      <c r="F1471" s="44">
        <f t="shared" ca="1" si="46"/>
        <v>15000</v>
      </c>
    </row>
    <row r="1472" spans="1:6" x14ac:dyDescent="0.3">
      <c r="A1472" s="30"/>
      <c r="B1472" s="30"/>
      <c r="C1472" s="30"/>
      <c r="D1472" s="30"/>
      <c r="E1472" s="45" t="s">
        <v>52</v>
      </c>
      <c r="F1472" s="46">
        <f ca="1">SUM(Table68[MONTO TOTAL ESTIMADO])</f>
        <v>1750900</v>
      </c>
    </row>
    <row r="1473" spans="1:6" ht="15" thickBot="1" x14ac:dyDescent="0.35">
      <c r="A1473" s="30"/>
      <c r="B1473" s="30"/>
      <c r="C1473" s="30"/>
      <c r="D1473" s="30"/>
      <c r="E1473" s="30"/>
      <c r="F1473" s="30"/>
    </row>
    <row r="1474" spans="1:6" ht="21" thickBot="1" x14ac:dyDescent="0.35">
      <c r="A1474" s="31" t="s">
        <v>19</v>
      </c>
      <c r="B1474" s="31" t="s">
        <v>20</v>
      </c>
      <c r="C1474" s="31" t="s">
        <v>21</v>
      </c>
      <c r="D1474" s="31" t="s">
        <v>22</v>
      </c>
      <c r="E1474" s="31" t="s">
        <v>23</v>
      </c>
      <c r="F1474" s="31" t="s">
        <v>24</v>
      </c>
    </row>
    <row r="1475" spans="1:6" ht="21" thickBot="1" x14ac:dyDescent="0.35">
      <c r="A1475" s="12" t="s">
        <v>327</v>
      </c>
      <c r="B1475" s="12" t="s">
        <v>327</v>
      </c>
      <c r="C1475" s="12" t="s">
        <v>27</v>
      </c>
      <c r="D1475" s="12" t="s">
        <v>80</v>
      </c>
      <c r="E1475" s="12" t="s">
        <v>59</v>
      </c>
      <c r="F1475" s="12"/>
    </row>
    <row r="1476" spans="1:6" ht="15" thickBot="1" x14ac:dyDescent="0.35">
      <c r="A1476" s="32" t="s">
        <v>30</v>
      </c>
      <c r="B1476" s="33" t="s">
        <v>31</v>
      </c>
      <c r="C1476" s="34">
        <v>45957</v>
      </c>
      <c r="D1476" s="32" t="s">
        <v>32</v>
      </c>
      <c r="E1476" s="35" t="s">
        <v>33</v>
      </c>
      <c r="F1476" s="36" t="s">
        <v>34</v>
      </c>
    </row>
    <row r="1477" spans="1:6" ht="15" thickBot="1" x14ac:dyDescent="0.35">
      <c r="A1477" s="37"/>
      <c r="B1477" s="33" t="s">
        <v>35</v>
      </c>
      <c r="C1477" s="38">
        <f>IF(C1476="","",IF(AND(MONTH(C1476)&gt;=1,MONTH(C1476)&lt;=3),1,IF(AND(MONTH(C1476)&gt;=4,MONTH(C1476)&lt;=6),2,IF(AND(MONTH(C1476)&gt;=7,MONTH(C1476)&lt;=9),3,4))))</f>
        <v>4</v>
      </c>
      <c r="D1477" s="37"/>
      <c r="E1477" s="35" t="s">
        <v>36</v>
      </c>
      <c r="F1477" s="36" t="s">
        <v>37</v>
      </c>
    </row>
    <row r="1478" spans="1:6" ht="15" thickBot="1" x14ac:dyDescent="0.35">
      <c r="A1478" s="37"/>
      <c r="B1478" s="33" t="s">
        <v>38</v>
      </c>
      <c r="C1478" s="34">
        <v>45959</v>
      </c>
      <c r="D1478" s="37"/>
      <c r="E1478" s="35" t="s">
        <v>39</v>
      </c>
      <c r="F1478" s="36" t="s">
        <v>37</v>
      </c>
    </row>
    <row r="1479" spans="1:6" ht="15" thickBot="1" x14ac:dyDescent="0.35">
      <c r="A1479" s="37"/>
      <c r="B1479" s="33" t="s">
        <v>35</v>
      </c>
      <c r="C1479" s="38">
        <f>IF(C1478="","",IF(AND(MONTH(C1478)&gt;=1,MONTH(C1478)&lt;=3),1,IF(AND(MONTH(C1478)&gt;=4,MONTH(C1478)&lt;=6),2,IF(AND(MONTH(C1478)&gt;=7,MONTH(C1478)&lt;=9),3,4))))</f>
        <v>4</v>
      </c>
      <c r="D1479" s="37"/>
      <c r="E1479" s="35" t="s">
        <v>40</v>
      </c>
      <c r="F1479" s="36"/>
    </row>
    <row r="1480" spans="1:6" ht="15" thickBot="1" x14ac:dyDescent="0.35">
      <c r="A1480" s="30"/>
      <c r="B1480" s="30"/>
      <c r="C1480" s="30"/>
      <c r="D1480" s="30"/>
      <c r="E1480" s="30"/>
      <c r="F1480" s="30"/>
    </row>
    <row r="1481" spans="1:6" ht="15" thickBot="1" x14ac:dyDescent="0.35">
      <c r="A1481" s="39" t="s">
        <v>41</v>
      </c>
      <c r="B1481" s="39" t="s">
        <v>42</v>
      </c>
      <c r="C1481" s="39" t="s">
        <v>43</v>
      </c>
      <c r="D1481" s="39" t="s">
        <v>44</v>
      </c>
      <c r="E1481" s="39" t="s">
        <v>45</v>
      </c>
      <c r="F1481" s="39" t="s">
        <v>46</v>
      </c>
    </row>
    <row r="1482" spans="1:6" x14ac:dyDescent="0.3">
      <c r="A1482" s="40" t="s">
        <v>124</v>
      </c>
      <c r="B1482" s="41" t="str">
        <f ca="1">IFERROR(INDEX(UNSPSCDes,MATCH(INDIRECT(ADDRESS(ROW(),COLUMN()-1,4)),UNSPSCCode,0)),IF(INDIRECT(ADDRESS(ROW(),COLUMN()-1,4))="42132205","Guantes de cirugía",""))</f>
        <v>Guantes de cirugía</v>
      </c>
      <c r="C1482" s="42" t="str">
        <f>IFERROR(VLOOKUP("UD",'[1]Informacion '!P:Q,2,FALSE),"")</f>
        <v>Unidad</v>
      </c>
      <c r="D1482" s="40">
        <v>30</v>
      </c>
      <c r="E1482" s="43">
        <v>350</v>
      </c>
      <c r="F1482" s="44">
        <f t="shared" ref="F1482:F1498" ca="1" si="47">INDIRECT(ADDRESS(ROW(),COLUMN()-2,4))*INDIRECT(ADDRESS(ROW(),COLUMN()-1,4))</f>
        <v>10500</v>
      </c>
    </row>
    <row r="1483" spans="1:6" x14ac:dyDescent="0.3">
      <c r="A1483" s="40" t="s">
        <v>124</v>
      </c>
      <c r="B1483" s="41" t="str">
        <f ca="1">IFERROR(INDEX(UNSPSCDes,MATCH(INDIRECT(ADDRESS(ROW(),COLUMN()-1,4)),UNSPSCCode,0)),IF(INDIRECT(ADDRESS(ROW(),COLUMN()-1,4))="42132205","Guantes de cirugía",""))</f>
        <v>Guantes de cirugía</v>
      </c>
      <c r="C1483" s="42" t="str">
        <f>IFERROR(VLOOKUP("UD",'[1]Informacion '!P:Q,2,FALSE),"")</f>
        <v>Unidad</v>
      </c>
      <c r="D1483" s="40">
        <v>30</v>
      </c>
      <c r="E1483" s="43">
        <v>350</v>
      </c>
      <c r="F1483" s="44">
        <f t="shared" ca="1" si="47"/>
        <v>10500</v>
      </c>
    </row>
    <row r="1484" spans="1:6" x14ac:dyDescent="0.3">
      <c r="A1484" s="40" t="s">
        <v>125</v>
      </c>
      <c r="B1484" s="41" t="str">
        <f ca="1">IFERROR(INDEX(UNSPSCDes,MATCH(INDIRECT(ADDRESS(ROW(),COLUMN()-1,4)),UNSPSCCode,0)),IF(INDIRECT(ADDRESS(ROW(),COLUMN()-1,4))="10111305","Tratamientos medicados para mascotas",""))</f>
        <v>Tratamientos medicados para mascotas</v>
      </c>
      <c r="C1484" s="42" t="str">
        <f>IFERROR(VLOOKUP("UD",'[1]Informacion '!P:Q,2,FALSE),"")</f>
        <v>Unidad</v>
      </c>
      <c r="D1484" s="40">
        <v>3</v>
      </c>
      <c r="E1484" s="43">
        <v>2000</v>
      </c>
      <c r="F1484" s="44">
        <f t="shared" ca="1" si="47"/>
        <v>6000</v>
      </c>
    </row>
    <row r="1485" spans="1:6" x14ac:dyDescent="0.3">
      <c r="A1485" s="40" t="s">
        <v>125</v>
      </c>
      <c r="B1485" s="41" t="str">
        <f ca="1">IFERROR(INDEX(UNSPSCDes,MATCH(INDIRECT(ADDRESS(ROW(),COLUMN()-1,4)),UNSPSCCode,0)),IF(INDIRECT(ADDRESS(ROW(),COLUMN()-1,4))="10111305","Tratamientos medicados para mascotas",""))</f>
        <v>Tratamientos medicados para mascotas</v>
      </c>
      <c r="C1485" s="42" t="str">
        <f>IFERROR(VLOOKUP("UD",'[1]Informacion '!P:Q,2,FALSE),"")</f>
        <v>Unidad</v>
      </c>
      <c r="D1485" s="40">
        <v>3</v>
      </c>
      <c r="E1485" s="43">
        <v>1600</v>
      </c>
      <c r="F1485" s="44">
        <f t="shared" ca="1" si="47"/>
        <v>4800</v>
      </c>
    </row>
    <row r="1486" spans="1:6" x14ac:dyDescent="0.3">
      <c r="A1486" s="40" t="s">
        <v>125</v>
      </c>
      <c r="B1486" s="41" t="str">
        <f ca="1">IFERROR(INDEX(UNSPSCDes,MATCH(INDIRECT(ADDRESS(ROW(),COLUMN()-1,4)),UNSPSCCode,0)),IF(INDIRECT(ADDRESS(ROW(),COLUMN()-1,4))="10111305","Tratamientos medicados para mascotas",""))</f>
        <v>Tratamientos medicados para mascotas</v>
      </c>
      <c r="C1486" s="42" t="str">
        <f>IFERROR(VLOOKUP("UD",'[1]Informacion '!P:Q,2,FALSE),"")</f>
        <v>Unidad</v>
      </c>
      <c r="D1486" s="40">
        <v>3</v>
      </c>
      <c r="E1486" s="43">
        <v>600</v>
      </c>
      <c r="F1486" s="44">
        <f t="shared" ca="1" si="47"/>
        <v>1800</v>
      </c>
    </row>
    <row r="1487" spans="1:6" x14ac:dyDescent="0.3">
      <c r="A1487" s="40" t="s">
        <v>125</v>
      </c>
      <c r="B1487" s="41" t="str">
        <f ca="1">IFERROR(INDEX(UNSPSCDes,MATCH(INDIRECT(ADDRESS(ROW(),COLUMN()-1,4)),UNSPSCCode,0)),IF(INDIRECT(ADDRESS(ROW(),COLUMN()-1,4))="10111305","Tratamientos medicados para mascotas",""))</f>
        <v>Tratamientos medicados para mascotas</v>
      </c>
      <c r="C1487" s="42" t="str">
        <f>IFERROR(VLOOKUP("UD",'[1]Informacion '!P:Q,2,FALSE),"")</f>
        <v>Unidad</v>
      </c>
      <c r="D1487" s="40">
        <v>3</v>
      </c>
      <c r="E1487" s="43">
        <v>800</v>
      </c>
      <c r="F1487" s="44">
        <f t="shared" ca="1" si="47"/>
        <v>2400</v>
      </c>
    </row>
    <row r="1488" spans="1:6" x14ac:dyDescent="0.3">
      <c r="A1488" s="40" t="s">
        <v>125</v>
      </c>
      <c r="B1488" s="41" t="str">
        <f ca="1">IFERROR(INDEX(UNSPSCDes,MATCH(INDIRECT(ADDRESS(ROW(),COLUMN()-1,4)),UNSPSCCode,0)),IF(INDIRECT(ADDRESS(ROW(),COLUMN()-1,4))="10111305","Tratamientos medicados para mascotas",""))</f>
        <v>Tratamientos medicados para mascotas</v>
      </c>
      <c r="C1488" s="42" t="str">
        <f>IFERROR(VLOOKUP("UD",'[1]Informacion '!P:Q,2,FALSE),"")</f>
        <v>Unidad</v>
      </c>
      <c r="D1488" s="40">
        <v>3</v>
      </c>
      <c r="E1488" s="43">
        <v>400</v>
      </c>
      <c r="F1488" s="44">
        <f t="shared" ca="1" si="47"/>
        <v>1200</v>
      </c>
    </row>
    <row r="1489" spans="1:6" ht="20.399999999999999" x14ac:dyDescent="0.3">
      <c r="A1489" s="40" t="s">
        <v>126</v>
      </c>
      <c r="B1489" s="41" t="str">
        <f ca="1">IFERROR(INDEX(UNSPSCDes,MATCH(INDIRECT(ADDRESS(ROW(),COLUMN()-1,4)),UNSPSCCode,0)),IF(INDIRECT(ADDRESS(ROW(),COLUMN()-1,4))="42121606","Productos dermatológicos o anti protozoarios para uso veterinario",""))</f>
        <v>Productos dermatológicos o anti protozoarios para uso veterinario</v>
      </c>
      <c r="C1489" s="42" t="str">
        <f>IFERROR(VLOOKUP("UD",'[1]Informacion '!P:Q,2,FALSE),"")</f>
        <v>Unidad</v>
      </c>
      <c r="D1489" s="40">
        <v>12</v>
      </c>
      <c r="E1489" s="43">
        <v>400</v>
      </c>
      <c r="F1489" s="44">
        <f t="shared" ca="1" si="47"/>
        <v>4800</v>
      </c>
    </row>
    <row r="1490" spans="1:6" ht="20.399999999999999" x14ac:dyDescent="0.3">
      <c r="A1490" s="40" t="s">
        <v>126</v>
      </c>
      <c r="B1490" s="41" t="str">
        <f ca="1">IFERROR(INDEX(UNSPSCDes,MATCH(INDIRECT(ADDRESS(ROW(),COLUMN()-1,4)),UNSPSCCode,0)),IF(INDIRECT(ADDRESS(ROW(),COLUMN()-1,4))="42121606","Productos dermatológicos o anti protozoarios para uso veterinario",""))</f>
        <v>Productos dermatológicos o anti protozoarios para uso veterinario</v>
      </c>
      <c r="C1490" s="42" t="str">
        <f>IFERROR(VLOOKUP("UD",'[1]Informacion '!P:Q,2,FALSE),"")</f>
        <v>Unidad</v>
      </c>
      <c r="D1490" s="40">
        <v>2</v>
      </c>
      <c r="E1490" s="43">
        <v>500</v>
      </c>
      <c r="F1490" s="44">
        <f t="shared" ca="1" si="47"/>
        <v>1000</v>
      </c>
    </row>
    <row r="1491" spans="1:6" x14ac:dyDescent="0.3">
      <c r="A1491" s="40" t="s">
        <v>127</v>
      </c>
      <c r="B1491" s="41" t="str">
        <f ca="1">IFERROR(INDEX(UNSPSCDes,MATCH(INDIRECT(ADDRESS(ROW(),COLUMN()-1,4)),UNSPSCCode,0)),IF(INDIRECT(ADDRESS(ROW(),COLUMN()-1,4))="12141916","Yodo i",""))</f>
        <v>Yodo i</v>
      </c>
      <c r="C1491" s="42" t="str">
        <f>IFERROR(VLOOKUP("UD",'[1]Informacion '!P:Q,2,FALSE),"")</f>
        <v>Unidad</v>
      </c>
      <c r="D1491" s="40">
        <v>3</v>
      </c>
      <c r="E1491" s="43">
        <v>1000</v>
      </c>
      <c r="F1491" s="44">
        <f t="shared" ca="1" si="47"/>
        <v>3000</v>
      </c>
    </row>
    <row r="1492" spans="1:6" x14ac:dyDescent="0.3">
      <c r="A1492" s="40" t="s">
        <v>131</v>
      </c>
      <c r="B1492" s="41" t="str">
        <f ca="1">IFERROR(INDEX(UNSPSCDes,MATCH(INDIRECT(ADDRESS(ROW(),COLUMN()-1,4)),UNSPSCCode,0)),IF(INDIRECT(ADDRESS(ROW(),COLUMN()-1,4))="51142001","Acetaminofén",""))</f>
        <v>Acetaminofén</v>
      </c>
      <c r="C1492" s="42" t="str">
        <f>IFERROR(VLOOKUP("UD",'[1]Informacion '!P:Q,2,FALSE),"")</f>
        <v>Unidad</v>
      </c>
      <c r="D1492" s="40">
        <v>1</v>
      </c>
      <c r="E1492" s="43">
        <v>600</v>
      </c>
      <c r="F1492" s="44">
        <f t="shared" ca="1" si="47"/>
        <v>600</v>
      </c>
    </row>
    <row r="1493" spans="1:6" x14ac:dyDescent="0.3">
      <c r="A1493" s="40" t="s">
        <v>131</v>
      </c>
      <c r="B1493" s="41" t="str">
        <f ca="1">IFERROR(INDEX(UNSPSCDes,MATCH(INDIRECT(ADDRESS(ROW(),COLUMN()-1,4)),UNSPSCCode,0)),IF(INDIRECT(ADDRESS(ROW(),COLUMN()-1,4))="51142001","Acetaminofén",""))</f>
        <v>Acetaminofén</v>
      </c>
      <c r="C1493" s="42" t="str">
        <f>IFERROR(VLOOKUP("UD",'[1]Informacion '!P:Q,2,FALSE),"")</f>
        <v>Unidad</v>
      </c>
      <c r="D1493" s="40">
        <v>3</v>
      </c>
      <c r="E1493" s="43">
        <v>200</v>
      </c>
      <c r="F1493" s="44">
        <f t="shared" ca="1" si="47"/>
        <v>600</v>
      </c>
    </row>
    <row r="1494" spans="1:6" x14ac:dyDescent="0.3">
      <c r="A1494" s="40" t="s">
        <v>134</v>
      </c>
      <c r="B1494" s="41" t="str">
        <f ca="1">IFERROR(INDEX(UNSPSCDes,MATCH(INDIRECT(ADDRESS(ROW(),COLUMN()-1,4)),UNSPSCCode,0)),IF(INDIRECT(ADDRESS(ROW(),COLUMN()-1,4))="51191604","Solución ringer lactato",""))</f>
        <v>Solución ringer lactato</v>
      </c>
      <c r="C1494" s="42" t="str">
        <f>IFERROR(VLOOKUP("UD",'[1]Informacion '!P:Q,2,FALSE),"")</f>
        <v>Unidad</v>
      </c>
      <c r="D1494" s="40">
        <v>3</v>
      </c>
      <c r="E1494" s="43">
        <v>130</v>
      </c>
      <c r="F1494" s="44">
        <f t="shared" ca="1" si="47"/>
        <v>390</v>
      </c>
    </row>
    <row r="1495" spans="1:6" x14ac:dyDescent="0.3">
      <c r="A1495" s="40" t="s">
        <v>317</v>
      </c>
      <c r="B1495" s="41" t="str">
        <f ca="1">IFERROR(INDEX(UNSPSCDes,MATCH(INDIRECT(ADDRESS(ROW(),COLUMN()-1,4)),UNSPSCCode,0)),IF(INDIRECT(ADDRESS(ROW(),COLUMN()-1,4))="51142103","Diclofenaco potásico",""))</f>
        <v>Diclofenaco potásico</v>
      </c>
      <c r="C1495" s="42" t="str">
        <f>IFERROR(VLOOKUP("UD",'[1]Informacion '!P:Q,2,FALSE),"")</f>
        <v>Unidad</v>
      </c>
      <c r="D1495" s="40">
        <v>1</v>
      </c>
      <c r="E1495" s="43">
        <v>1000</v>
      </c>
      <c r="F1495" s="44">
        <f t="shared" ca="1" si="47"/>
        <v>1000</v>
      </c>
    </row>
    <row r="1496" spans="1:6" x14ac:dyDescent="0.3">
      <c r="A1496" s="40" t="s">
        <v>128</v>
      </c>
      <c r="B1496" s="41" t="str">
        <f ca="1">IFERROR(INDEX(UNSPSCDes,MATCH(INDIRECT(ADDRESS(ROW(),COLUMN()-1,4)),UNSPSCCode,0)),IF(INDIRECT(ADDRESS(ROW(),COLUMN()-1,4))="12352104","Alcoholes o sus sustitutos",""))</f>
        <v>Alcoholes o sus sustitutos</v>
      </c>
      <c r="C1496" s="42" t="str">
        <f>IFERROR(VLOOKUP("GAL",'[1]Informacion '!P:Q,2,FALSE),"")</f>
        <v>Galón</v>
      </c>
      <c r="D1496" s="40">
        <v>6</v>
      </c>
      <c r="E1496" s="43">
        <v>600</v>
      </c>
      <c r="F1496" s="44">
        <f t="shared" ca="1" si="47"/>
        <v>3600</v>
      </c>
    </row>
    <row r="1497" spans="1:6" x14ac:dyDescent="0.3">
      <c r="A1497" s="40" t="s">
        <v>328</v>
      </c>
      <c r="B1497" s="41" t="str">
        <f ca="1">IFERROR(INDEX(UNSPSCDes,MATCH(INDIRECT(ADDRESS(ROW(),COLUMN()-1,4)),UNSPSCCode,0)),IF(INDIRECT(ADDRESS(ROW(),COLUMN()-1,4))="42311505","Vendajes o compresas para uso general",""))</f>
        <v>Vendajes o compresas para uso general</v>
      </c>
      <c r="C1497" s="42" t="str">
        <f>IFERROR(VLOOKUP("UD",'[1]Informacion '!P:Q,2,FALSE),"")</f>
        <v>Unidad</v>
      </c>
      <c r="D1497" s="40">
        <v>1</v>
      </c>
      <c r="E1497" s="43">
        <v>1000</v>
      </c>
      <c r="F1497" s="44">
        <f t="shared" ca="1" si="47"/>
        <v>1000</v>
      </c>
    </row>
    <row r="1498" spans="1:6" ht="30.6" x14ac:dyDescent="0.3">
      <c r="A1498" s="40" t="s">
        <v>329</v>
      </c>
      <c r="B1498" s="41" t="str">
        <f ca="1">IFERROR(INDEX(UNSPSCDes,MATCH(INDIRECT(ADDRESS(ROW(),COLUMN()-1,4)),UNSPSCCode,0)),IF(INDIRECT(ADDRESS(ROW(),COLUMN()-1,4))="42121604","Productos para el sistema musculo esquelético o nervioso para uso veterinario",""))</f>
        <v>Productos para el sistema musculo esquelético o nervioso para uso veterinario</v>
      </c>
      <c r="C1498" s="42" t="str">
        <f>IFERROR(VLOOKUP("UD",'[1]Informacion '!P:Q,2,FALSE),"")</f>
        <v>Unidad</v>
      </c>
      <c r="D1498" s="40">
        <v>5</v>
      </c>
      <c r="E1498" s="43">
        <v>2000</v>
      </c>
      <c r="F1498" s="44">
        <f t="shared" ca="1" si="47"/>
        <v>10000</v>
      </c>
    </row>
    <row r="1499" spans="1:6" x14ac:dyDescent="0.3">
      <c r="A1499" s="30"/>
      <c r="B1499" s="30"/>
      <c r="C1499" s="30"/>
      <c r="D1499" s="30"/>
      <c r="E1499" s="45" t="s">
        <v>52</v>
      </c>
      <c r="F1499" s="46">
        <f ca="1">SUM(Table69[MONTO TOTAL ESTIMADO])</f>
        <v>63190</v>
      </c>
    </row>
    <row r="1500" spans="1:6" ht="15" thickBot="1" x14ac:dyDescent="0.35">
      <c r="A1500" s="30"/>
      <c r="B1500" s="30"/>
      <c r="C1500" s="30"/>
      <c r="D1500" s="30"/>
      <c r="E1500" s="30"/>
      <c r="F1500" s="30"/>
    </row>
    <row r="1501" spans="1:6" ht="21" thickBot="1" x14ac:dyDescent="0.35">
      <c r="A1501" s="31" t="s">
        <v>19</v>
      </c>
      <c r="B1501" s="31" t="s">
        <v>20</v>
      </c>
      <c r="C1501" s="31" t="s">
        <v>21</v>
      </c>
      <c r="D1501" s="31" t="s">
        <v>22</v>
      </c>
      <c r="E1501" s="31" t="s">
        <v>23</v>
      </c>
      <c r="F1501" s="31" t="s">
        <v>24</v>
      </c>
    </row>
    <row r="1502" spans="1:6" ht="21" thickBot="1" x14ac:dyDescent="0.35">
      <c r="A1502" s="12" t="s">
        <v>330</v>
      </c>
      <c r="B1502" s="12" t="s">
        <v>330</v>
      </c>
      <c r="C1502" s="12" t="s">
        <v>27</v>
      </c>
      <c r="D1502" s="12" t="s">
        <v>28</v>
      </c>
      <c r="E1502" s="12" t="s">
        <v>59</v>
      </c>
      <c r="F1502" s="12"/>
    </row>
    <row r="1503" spans="1:6" ht="15" thickBot="1" x14ac:dyDescent="0.35">
      <c r="A1503" s="32" t="s">
        <v>30</v>
      </c>
      <c r="B1503" s="33" t="s">
        <v>31</v>
      </c>
      <c r="C1503" s="34">
        <v>45965</v>
      </c>
      <c r="D1503" s="32" t="s">
        <v>32</v>
      </c>
      <c r="E1503" s="35" t="s">
        <v>33</v>
      </c>
      <c r="F1503" s="36" t="s">
        <v>34</v>
      </c>
    </row>
    <row r="1504" spans="1:6" ht="15" thickBot="1" x14ac:dyDescent="0.35">
      <c r="A1504" s="37"/>
      <c r="B1504" s="33" t="s">
        <v>35</v>
      </c>
      <c r="C1504" s="38">
        <f>IF(C1503="","",IF(AND(MONTH(C1503)&gt;=1,MONTH(C1503)&lt;=3),1,IF(AND(MONTH(C1503)&gt;=4,MONTH(C1503)&lt;=6),2,IF(AND(MONTH(C1503)&gt;=7,MONTH(C1503)&lt;=9),3,4))))</f>
        <v>4</v>
      </c>
      <c r="D1504" s="37"/>
      <c r="E1504" s="35" t="s">
        <v>36</v>
      </c>
      <c r="F1504" s="36" t="s">
        <v>37</v>
      </c>
    </row>
    <row r="1505" spans="1:6" ht="15" thickBot="1" x14ac:dyDescent="0.35">
      <c r="A1505" s="37"/>
      <c r="B1505" s="33" t="s">
        <v>38</v>
      </c>
      <c r="C1505" s="34">
        <v>45968</v>
      </c>
      <c r="D1505" s="37"/>
      <c r="E1505" s="35" t="s">
        <v>39</v>
      </c>
      <c r="F1505" s="36" t="s">
        <v>37</v>
      </c>
    </row>
    <row r="1506" spans="1:6" ht="15" thickBot="1" x14ac:dyDescent="0.35">
      <c r="A1506" s="37"/>
      <c r="B1506" s="33" t="s">
        <v>35</v>
      </c>
      <c r="C1506" s="38">
        <f>IF(C1505="","",IF(AND(MONTH(C1505)&gt;=1,MONTH(C1505)&lt;=3),1,IF(AND(MONTH(C1505)&gt;=4,MONTH(C1505)&lt;=6),2,IF(AND(MONTH(C1505)&gt;=7,MONTH(C1505)&lt;=9),3,4))))</f>
        <v>4</v>
      </c>
      <c r="D1506" s="37"/>
      <c r="E1506" s="35" t="s">
        <v>40</v>
      </c>
      <c r="F1506" s="36"/>
    </row>
    <row r="1507" spans="1:6" ht="15" thickBot="1" x14ac:dyDescent="0.35">
      <c r="A1507" s="30"/>
      <c r="B1507" s="30"/>
      <c r="C1507" s="30"/>
      <c r="D1507" s="30"/>
      <c r="E1507" s="30"/>
      <c r="F1507" s="30"/>
    </row>
    <row r="1508" spans="1:6" ht="15" thickBot="1" x14ac:dyDescent="0.35">
      <c r="A1508" s="39" t="s">
        <v>41</v>
      </c>
      <c r="B1508" s="39" t="s">
        <v>42</v>
      </c>
      <c r="C1508" s="39" t="s">
        <v>43</v>
      </c>
      <c r="D1508" s="39" t="s">
        <v>44</v>
      </c>
      <c r="E1508" s="39" t="s">
        <v>45</v>
      </c>
      <c r="F1508" s="39" t="s">
        <v>46</v>
      </c>
    </row>
    <row r="1509" spans="1:6" x14ac:dyDescent="0.3">
      <c r="A1509" s="40" t="s">
        <v>213</v>
      </c>
      <c r="B1509" s="41" t="str">
        <f ca="1">IFERROR(INDEX(UNSPSCDes,MATCH(INDIRECT(ADDRESS(ROW(),COLUMN()-1,4)),UNSPSCCode,0)),IF(INDIRECT(ADDRESS(ROW(),COLUMN()-1,4))="11111701","Arena de sílice",""))</f>
        <v>Arena de sílice</v>
      </c>
      <c r="C1509" s="42" t="str">
        <f>IFERROR(VLOOKUP("M3",'[1]Informacion '!P:Q,2,FALSE),"")</f>
        <v>Metro cúbico</v>
      </c>
      <c r="D1509" s="40">
        <v>24</v>
      </c>
      <c r="E1509" s="43">
        <v>2600</v>
      </c>
      <c r="F1509" s="44">
        <f ca="1">INDIRECT(ADDRESS(ROW(),COLUMN()-2,4))*INDIRECT(ADDRESS(ROW(),COLUMN()-1,4))</f>
        <v>62400</v>
      </c>
    </row>
    <row r="1510" spans="1:6" x14ac:dyDescent="0.3">
      <c r="A1510" s="40" t="s">
        <v>214</v>
      </c>
      <c r="B1510" s="41" t="str">
        <f ca="1">IFERROR(INDEX(UNSPSCDes,MATCH(INDIRECT(ADDRESS(ROW(),COLUMN()-1,4)),UNSPSCCode,0)),IF(INDIRECT(ADDRESS(ROW(),COLUMN()-1,4))="30111601","Cemento",""))</f>
        <v>Cemento</v>
      </c>
      <c r="C1510" s="42" t="str">
        <f>IFERROR(VLOOKUP("UD",'[1]Informacion '!P:Q,2,FALSE),"")</f>
        <v>Unidad</v>
      </c>
      <c r="D1510" s="40">
        <v>400</v>
      </c>
      <c r="E1510" s="43">
        <v>550</v>
      </c>
      <c r="F1510" s="44">
        <f ca="1">INDIRECT(ADDRESS(ROW(),COLUMN()-2,4))*INDIRECT(ADDRESS(ROW(),COLUMN()-1,4))</f>
        <v>220000</v>
      </c>
    </row>
    <row r="1511" spans="1:6" x14ac:dyDescent="0.3">
      <c r="A1511" s="40" t="s">
        <v>215</v>
      </c>
      <c r="B1511" s="41" t="str">
        <f ca="1">IFERROR(INDEX(UNSPSCDes,MATCH(INDIRECT(ADDRESS(ROW(),COLUMN()-1,4)),UNSPSCCode,0)),IF(INDIRECT(ADDRESS(ROW(),COLUMN()-1,4))="30131502","Bloques de concreto",""))</f>
        <v>Bloques de concreto</v>
      </c>
      <c r="C1511" s="42" t="str">
        <f>IFERROR(VLOOKUP("UD",'[1]Informacion '!P:Q,2,FALSE),"")</f>
        <v>Unidad</v>
      </c>
      <c r="D1511" s="40">
        <v>2000</v>
      </c>
      <c r="E1511" s="43">
        <v>50</v>
      </c>
      <c r="F1511" s="44">
        <f ca="1">INDIRECT(ADDRESS(ROW(),COLUMN()-2,4))*INDIRECT(ADDRESS(ROW(),COLUMN()-1,4))</f>
        <v>100000</v>
      </c>
    </row>
    <row r="1512" spans="1:6" x14ac:dyDescent="0.3">
      <c r="A1512" s="40" t="s">
        <v>216</v>
      </c>
      <c r="B1512" s="41" t="str">
        <f ca="1">IFERROR(INDEX(UNSPSCDes,MATCH(INDIRECT(ADDRESS(ROW(),COLUMN()-1,4)),UNSPSCCode,0)),IF(INDIRECT(ADDRESS(ROW(),COLUMN()-1,4))="11111611","Gravilla",""))</f>
        <v>Gravilla</v>
      </c>
      <c r="C1512" s="42" t="str">
        <f>IFERROR(VLOOKUP("M3",'[1]Informacion '!P:Q,2,FALSE),"")</f>
        <v>Metro cúbico</v>
      </c>
      <c r="D1512" s="40">
        <v>24</v>
      </c>
      <c r="E1512" s="43">
        <v>1600</v>
      </c>
      <c r="F1512" s="44">
        <f ca="1">INDIRECT(ADDRESS(ROW(),COLUMN()-2,4))*INDIRECT(ADDRESS(ROW(),COLUMN()-1,4))</f>
        <v>38400</v>
      </c>
    </row>
    <row r="1513" spans="1:6" x14ac:dyDescent="0.3">
      <c r="A1513" s="40" t="s">
        <v>217</v>
      </c>
      <c r="B1513" s="41" t="str">
        <f ca="1">IFERROR(INDEX(UNSPSCDes,MATCH(INDIRECT(ADDRESS(ROW(),COLUMN()-1,4)),UNSPSCCode,0)),IF(INDIRECT(ADDRESS(ROW(),COLUMN()-1,4))="30102403","Varillas de hierro",""))</f>
        <v>Varillas de hierro</v>
      </c>
      <c r="C1513" s="42" t="str">
        <f>IFERROR(VLOOKUP("Q",'[1]Informacion '!P:Q,2,FALSE),"")</f>
        <v>Quintal</v>
      </c>
      <c r="D1513" s="40">
        <v>20</v>
      </c>
      <c r="E1513" s="43">
        <v>4000</v>
      </c>
      <c r="F1513" s="44">
        <f ca="1">INDIRECT(ADDRESS(ROW(),COLUMN()-2,4))*INDIRECT(ADDRESS(ROW(),COLUMN()-1,4))</f>
        <v>80000</v>
      </c>
    </row>
    <row r="1514" spans="1:6" x14ac:dyDescent="0.3">
      <c r="A1514" s="30"/>
      <c r="B1514" s="30"/>
      <c r="C1514" s="30"/>
      <c r="D1514" s="30"/>
      <c r="E1514" s="45" t="s">
        <v>52</v>
      </c>
      <c r="F1514" s="46">
        <f ca="1">SUM(Table70[MONTO TOTAL ESTIMADO])</f>
        <v>500800</v>
      </c>
    </row>
  </sheetData>
  <protectedRanges>
    <protectedRange sqref="F5" name="Rango3"/>
    <protectedRange sqref="E11:E12" name="Rango2"/>
  </protectedRanges>
  <mergeCells count="144">
    <mergeCell ref="A1436:A1439"/>
    <mergeCell ref="D1436:D1439"/>
    <mergeCell ref="A1476:A1479"/>
    <mergeCell ref="D1476:D1479"/>
    <mergeCell ref="A1503:A1506"/>
    <mergeCell ref="D1503:D1506"/>
    <mergeCell ref="A1365:A1368"/>
    <mergeCell ref="D1365:D1368"/>
    <mergeCell ref="A1380:A1383"/>
    <mergeCell ref="D1380:D1383"/>
    <mergeCell ref="A1415:A1418"/>
    <mergeCell ref="D1415:D1418"/>
    <mergeCell ref="A1287:A1290"/>
    <mergeCell ref="D1287:D1290"/>
    <mergeCell ref="A1308:A1311"/>
    <mergeCell ref="D1308:D1311"/>
    <mergeCell ref="A1323:A1326"/>
    <mergeCell ref="D1323:D1326"/>
    <mergeCell ref="A1222:A1225"/>
    <mergeCell ref="D1222:D1225"/>
    <mergeCell ref="A1233:A1236"/>
    <mergeCell ref="D1233:D1236"/>
    <mergeCell ref="A1263:A1266"/>
    <mergeCell ref="D1263:D1266"/>
    <mergeCell ref="A1124:A1127"/>
    <mergeCell ref="D1124:D1127"/>
    <mergeCell ref="A1160:A1163"/>
    <mergeCell ref="D1160:D1163"/>
    <mergeCell ref="A1182:A1185"/>
    <mergeCell ref="D1182:D1185"/>
    <mergeCell ref="A1046:A1049"/>
    <mergeCell ref="D1046:D1049"/>
    <mergeCell ref="A1058:A1061"/>
    <mergeCell ref="D1058:D1061"/>
    <mergeCell ref="A1109:A1112"/>
    <mergeCell ref="D1109:D1112"/>
    <mergeCell ref="A1007:A1010"/>
    <mergeCell ref="D1007:D1010"/>
    <mergeCell ref="A1018:A1021"/>
    <mergeCell ref="D1018:D1021"/>
    <mergeCell ref="A1032:A1035"/>
    <mergeCell ref="D1032:D1035"/>
    <mergeCell ref="A923:A926"/>
    <mergeCell ref="D923:D926"/>
    <mergeCell ref="A983:A986"/>
    <mergeCell ref="D983:D986"/>
    <mergeCell ref="A994:A997"/>
    <mergeCell ref="D994:D997"/>
    <mergeCell ref="A866:A869"/>
    <mergeCell ref="D866:D869"/>
    <mergeCell ref="A888:A891"/>
    <mergeCell ref="D888:D891"/>
    <mergeCell ref="A903:A906"/>
    <mergeCell ref="D903:D906"/>
    <mergeCell ref="A790:A793"/>
    <mergeCell ref="D790:D793"/>
    <mergeCell ref="A819:A822"/>
    <mergeCell ref="D819:D822"/>
    <mergeCell ref="A839:A842"/>
    <mergeCell ref="D839:D842"/>
    <mergeCell ref="A716:A719"/>
    <mergeCell ref="D716:D719"/>
    <mergeCell ref="A748:A751"/>
    <mergeCell ref="D748:D751"/>
    <mergeCell ref="A767:A770"/>
    <mergeCell ref="D767:D770"/>
    <mergeCell ref="A631:A634"/>
    <mergeCell ref="D631:D634"/>
    <mergeCell ref="A687:A690"/>
    <mergeCell ref="D687:D690"/>
    <mergeCell ref="A701:A704"/>
    <mergeCell ref="D701:D704"/>
    <mergeCell ref="A554:A557"/>
    <mergeCell ref="D554:D557"/>
    <mergeCell ref="A577:A580"/>
    <mergeCell ref="D577:D580"/>
    <mergeCell ref="A605:A608"/>
    <mergeCell ref="D605:D608"/>
    <mergeCell ref="A505:A508"/>
    <mergeCell ref="D505:D508"/>
    <mergeCell ref="A516:A519"/>
    <mergeCell ref="D516:D519"/>
    <mergeCell ref="A537:A540"/>
    <mergeCell ref="D537:D540"/>
    <mergeCell ref="A465:A468"/>
    <mergeCell ref="D465:D468"/>
    <mergeCell ref="A476:A479"/>
    <mergeCell ref="D476:D479"/>
    <mergeCell ref="A488:A491"/>
    <mergeCell ref="D488:D491"/>
    <mergeCell ref="A425:A428"/>
    <mergeCell ref="D425:D428"/>
    <mergeCell ref="A436:A439"/>
    <mergeCell ref="D436:D439"/>
    <mergeCell ref="A454:A457"/>
    <mergeCell ref="D454:D457"/>
    <mergeCell ref="A385:A388"/>
    <mergeCell ref="D385:D388"/>
    <mergeCell ref="A397:A400"/>
    <mergeCell ref="D397:D400"/>
    <mergeCell ref="A412:A415"/>
    <mergeCell ref="D412:D415"/>
    <mergeCell ref="A325:A328"/>
    <mergeCell ref="D325:D328"/>
    <mergeCell ref="A336:A339"/>
    <mergeCell ref="D336:D339"/>
    <mergeCell ref="A373:A376"/>
    <mergeCell ref="D373:D376"/>
    <mergeCell ref="A292:A295"/>
    <mergeCell ref="D292:D295"/>
    <mergeCell ref="A303:A306"/>
    <mergeCell ref="D303:D306"/>
    <mergeCell ref="A314:A317"/>
    <mergeCell ref="D314:D317"/>
    <mergeCell ref="A216:A219"/>
    <mergeCell ref="D216:D219"/>
    <mergeCell ref="A251:A254"/>
    <mergeCell ref="D251:D254"/>
    <mergeCell ref="A262:A265"/>
    <mergeCell ref="D262:D265"/>
    <mergeCell ref="A143:A146"/>
    <mergeCell ref="D143:D146"/>
    <mergeCell ref="A176:A179"/>
    <mergeCell ref="D176:D179"/>
    <mergeCell ref="A205:A208"/>
    <mergeCell ref="D205:D208"/>
    <mergeCell ref="A68:A71"/>
    <mergeCell ref="D68:D71"/>
    <mergeCell ref="A83:A86"/>
    <mergeCell ref="D83:D86"/>
    <mergeCell ref="A121:A124"/>
    <mergeCell ref="D121:D124"/>
    <mergeCell ref="E9:F9"/>
    <mergeCell ref="E10:F10"/>
    <mergeCell ref="E11:F11"/>
    <mergeCell ref="E12:F12"/>
    <mergeCell ref="A17:A20"/>
    <mergeCell ref="D17:D20"/>
    <mergeCell ref="A1:A4"/>
    <mergeCell ref="B2:E2"/>
    <mergeCell ref="B3:E3"/>
    <mergeCell ref="E6:F6"/>
    <mergeCell ref="E7:F7"/>
    <mergeCell ref="E8:F8"/>
  </mergeCells>
  <dataValidations count="12">
    <dataValidation type="decimal" operator="greaterThan" allowBlank="1" showInputMessage="1" showErrorMessage="1" sqref="D1509:E1513 D1482:E1498 D1442:E1471 D1421:E1431 D1386:E1410 D1371:E1375 D1329:E1360 D1314:E1318 D1293:E1303 D1269:E1282 D1239:E1258 D1228:E1228 D1188:E1217 D1166:E1177 D1130:E1155 D1115:E1119 D1064:E1104 D1052:E1053 D1038:E1041 D1024:E1027 D1013:E1013 D1000:E1002 D989:E989 D929:E978 D909:E918 D894:E898 D872:E883 D845:E861 D825:E834 D796:E814 D773:E785 D754:E762 D722:E743 D707:E711 D693:E696 D637:E682 D611:E626 D583:E600 D560:E572 D543:E549 D522:E532 D511:E511 D494:E500 D482:E483 D471:E471 D460:E460 D442:E449 D431:E431 D418:E420 D403:E407 D391:E392 D379:E380 D342:E368 D331:E331 D320:E320 D309:E309 D298:E298 D268:E287 D257:E257 D222:E246 D211:E211 D182:E200 D149:E171 D127:E138 D89:E116 D74:E78 D23:E63" xr:uid="{ED17B11A-D49C-4576-B8CB-888D6FA82032}">
      <formula1>0</formula1>
    </dataValidation>
    <dataValidation type="list" allowBlank="1" showInputMessage="1" showErrorMessage="1" sqref="C1509:C1513 C1482:C1498 C1442:C1471 C1421:C1431 C1386:C1410 C1371:C1375 C1329:C1360 C1314:C1318 C1293:C1303 C1269:C1282 C1239:C1258 C1228 C1188:C1217 C1166:C1177 C1130:C1155 C1115:C1119 C1064:C1104 C1052:C1053 C1038:C1041 C1024:C1027 C1013 C1000:C1002 C989 C929:C978 C909:C918 C894:C898 C872:C883 C845:C861 C825:C834 C796:C814 C773:C785 C754:C762 C722:C743 C707:C711 C693:C696 C637:C682 C611:C626 C583:C600 C560:C572 C543:C549 C522:C532 C511 C494:C500 C482:C483 C471 C460 C442:C449 C431 C418:C420 C403:C407 C391:C392 C379:C380 C342:C368 C331 C320 C309 C298 C268:C287 C257 C222:C246 C211 C182:C200 C149:C171 C127:C138 C89:C116 C74:C78 C23:C63" xr:uid="{C3D18444-C592-4503-B5B3-A7EBFDB5AAB3}">
      <formula1>UnidadesList</formula1>
    </dataValidation>
    <dataValidation type="whole" operator="greaterThan" allowBlank="1" showInputMessage="1" showErrorMessage="1" sqref="A1509:A1513 A1482:A1498 A1442:A1471 A1421:A1431 A1386:A1410 A1371:A1375 A1329:A1360 A1314:A1318 A1293:A1303 A1269:A1282 A1239:A1258 A1228 A1188:A1217 A1166:A1177 A1130:A1155 A1115:A1119 A1064:A1104 A1052:A1053 A1038:A1041 A1024:A1027 A1013 A1000:A1002 A989 A929:A978 A909:A918 A894:A898 A872:A883 A845:A861 A825:A834 A796:A814 A773:A785 A754:A762 A722:A743 A707:A711 A693:A696 A637:A682 A611:A626 A583:A600 A560:A572 A543:A549 A522:A532 A511 A494:A500 A482:A483 A471 A460 A442:A449 A431 A418:A420 A403:A407 A391:A392 A379:A380 A342:A368 A331 A320 A309 A298 A268:A287 A257 A222:A246 A211 A182:A200 A149:A171 A127:A138 A89:A116 A74:A78 A23:A63" xr:uid="{DC34A787-3B5F-4391-8298-2A3511410409}">
      <formula1>0</formula1>
    </dataValidation>
    <dataValidation type="list" allowBlank="1" showInputMessage="1" showErrorMessage="1" sqref="F20 F1506 F1479 F1439 F1418 F1383 F1368 F1326 F1311 F1290 F1266 F1236 F1225 F1185 F1163 F1127 F1112 F1061 F1049 F1035 F1021 F1010 F997 F986 F926 F906 F891 F869 F842 F822 F793 F770 F751 F719 F704 F690 F634 F608 F580 F557 F540 F519 F508 F491 F479 F468 F457 F439 F428 F415 F400 F388 F376 F339 F328 F317 F306 F295 F265 F254 F219 F208 F179 F146 F124 F86 F71" xr:uid="{C8DB5135-5CB8-449F-B157-AE348020E2FF}">
      <formula1>OFFSET(MunicipioStart,MATCH(INDIRECT(ADDRESS(ROW()-1,COLUMN(),4)),MunicipioColumn,0)-1,1,COUNTIF(MunicipioColumn,INDIRECT(ADDRESS(ROW()-1,COLUMN(),4))),1)</formula1>
    </dataValidation>
    <dataValidation type="list" allowBlank="1" showInputMessage="1" showErrorMessage="1" sqref="F19 F1505 F1478 F1438 F1417 F1382 F1367 F1325 F1310 F1289 F1265 F1235 F1224 F1184 F1162 F1126 F1111 F1060 F1048 F1034 F1020 F1009 F996 F985 F925 F905 F890 F868 F841 F821 F792 F769 F750 F718 F703 F689 F633 F607 F579 F556 F539 F518 F507 F490 F478 F467 F456 F438 F427 F414 F399 F387 F375 F338 F327 F316 F305 F294 F264 F253 F218 F207 F178 F145 F123 F85 F70" xr:uid="{489E9596-97A0-47BE-90DE-AC6D3D91EAB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504 F1477 F1437 F1416 F1381 F1366 F1324 F1309 F1288 F1264 F1234 F1223 F1183 F1161 F1125 F1110 F1059 F1047 F1033 F1019 F1008 F995 F984 F924 F904 F889 F867 F840 F820 F791 F768 F749 F717 F702 F688 F632 F606 F578 F555 F538 F517 F506 F489 F477 F466 F455 F437 F426 F413 F398 F386 F374 F337 F326 F315 F304 F293 F263 F252 F217 F206 F177 F144 F122 F84 F69" xr:uid="{686ABF16-83E5-454F-81F2-530C3041115A}">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503 F1476 F1436 F1415 F1380 F1365 F1323 F1308 F1287 F1263 F1233 F1222 F1182 F1160 F1124 F1109 F1058 F1046 F1032 F1018 F1007 F994 F983 F923 F903 F888 F866 F839 F819 F790 F767 F748 F716 F701 F687 F631 F605 F577 F554 F537 F516 F505 F488 F476 F465 F454 F436 F425 F412 F397 F385 F373 F336 F325 F314 F303 F292 F262 F251 F216 F205 F176 F143 F121 F83 F68" xr:uid="{3E5B90E9-FCC6-4FD5-A90A-726C77927343}">
      <formula1>IF(INDIRECT(ADDRESS(ROW()+1,COLUMN(),4))="",RegionList,INDEX(RegionColumn,MATCH(INDIRECT(ADDRESS(ROW()+1,COLUMN(),4)),ProvinciaList,0)))</formula1>
    </dataValidation>
    <dataValidation type="date" operator="greaterThanOrEqual" allowBlank="1" showInputMessage="1" showErrorMessage="1" sqref="C19 C1505 C1478 C1438 C1417 C1382 C1367 C1325 C1310 C1289 C1265 C1235 C1224 C1184 C1162 C1126 C1111 C1060 C1048 C1034 C1020 C1009 C996 C985 C925 C905 C890 C868 C841 C821 C792 C769 C750 C718 C703 C689 C633 C607 C579 C556 C539 C518 C507 C490 C478 C467 C456 C438 C427 C414 C399 C387 C375 C338 C327 C316 C305 C294 C264 C253 C218 C207 C178 C145 C123 C85 C70" xr:uid="{4D76F1F7-BC6B-435F-9C3F-730813277CDC}">
      <formula1>C17</formula1>
    </dataValidation>
    <dataValidation type="date" operator="lessThanOrEqual" allowBlank="1" showInputMessage="1" showErrorMessage="1" sqref="C17 C1503 C1476 C1436 C1415 C1380 C1365 C1323 C1308 C1287 C1263 C1233 C1222 C1182 C1160 C1124 C1109 C1058 C1046 C1032 C1018 C1007 C994 C983 C923 C903 C888 C866 C839 C819 C790 C767 C748 C716 C701 C687 C631 C605 C577 C554 C537 C516 C505 C488 C476 C465 C454 C436 C425 C412 C397 C385 C373 C336 C325 C314 C303 C292 C262 C251 C216 C205 C176 C143 C121 C83 C68" xr:uid="{A466466C-BFC7-482C-A1F6-28B1C99D2E3C}">
      <formula1>C19</formula1>
    </dataValidation>
    <dataValidation operator="greaterThan" allowBlank="1" showInputMessage="1" showErrorMessage="1" sqref="E10:F10" xr:uid="{8800A915-0DB7-4D31-9F5C-77620B44C410}"/>
    <dataValidation type="date" operator="greaterThan" allowBlank="1" showInputMessage="1" showErrorMessage="1" sqref="E12:F12" xr:uid="{FDEB395F-1D07-46BF-B237-0356D51ACCDC}">
      <formula1>36526</formula1>
    </dataValidation>
    <dataValidation type="whole" allowBlank="1" showInputMessage="1" showErrorMessage="1" sqref="E11:F11" xr:uid="{E26B19BA-065F-4BBC-BE25-522FA6ECF184}">
      <formula1>1900</formula1>
      <formula2>3000</formula2>
    </dataValidation>
  </dataValidations>
  <printOptions horizontalCentered="1"/>
  <pageMargins left="0" right="0" top="0" bottom="0" header="0" footer="0"/>
  <pageSetup paperSize="119" fitToWidth="0" fitToHeight="0" orientation="landscape" r:id="rId1"/>
  <drawing r:id="rId2"/>
  <legacyDrawing r:id="rId3"/>
  <tableParts count="6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Yeury Núñez</dc:creator>
  <cp:lastModifiedBy>Yeury Núñez</cp:lastModifiedBy>
  <cp:lastPrinted>2025-01-22T16:17:28Z</cp:lastPrinted>
  <dcterms:created xsi:type="dcterms:W3CDTF">2025-01-22T15:09:54Z</dcterms:created>
  <dcterms:modified xsi:type="dcterms:W3CDTF">2025-01-22T16:57:24Z</dcterms:modified>
</cp:coreProperties>
</file>